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ppyu\Documents\연맹업무\2023년\국가대표 선발\"/>
    </mc:Choice>
  </mc:AlternateContent>
  <xr:revisionPtr revIDLastSave="0" documentId="13_ncr:1_{CB085C33-66AF-4594-B1F7-3706B69D5F4C}" xr6:coauthVersionLast="47" xr6:coauthVersionMax="47" xr10:uidLastSave="{00000000-0000-0000-0000-000000000000}"/>
  <bookViews>
    <workbookView xWindow="-120" yWindow="-120" windowWidth="29040" windowHeight="15840" tabRatio="736" firstSheet="4" activeTab="5" xr2:uid="{00000000-000D-0000-FFFF-FFFF00000000}"/>
  </bookViews>
  <sheets>
    <sheet name="16년대표" sheetId="29" state="hidden" r:id="rId1"/>
    <sheet name="대표선수" sheetId="6" state="hidden" r:id="rId2"/>
    <sheet name="경기연맹" sheetId="8" state="hidden" r:id="rId3"/>
    <sheet name="경기15년" sheetId="17" state="hidden" r:id="rId4"/>
    <sheet name="청소년대표" sheetId="38" r:id="rId5"/>
    <sheet name="성인대표" sheetId="39" r:id="rId6"/>
  </sheets>
  <calcPr calcId="191029"/>
</workbook>
</file>

<file path=xl/calcChain.xml><?xml version="1.0" encoding="utf-8"?>
<calcChain xmlns="http://schemas.openxmlformats.org/spreadsheetml/2006/main">
  <c r="O23" i="38" l="1"/>
  <c r="O22" i="38"/>
  <c r="O21" i="38"/>
  <c r="O20" i="38"/>
  <c r="M23" i="38"/>
  <c r="M22" i="38"/>
  <c r="M20" i="38"/>
  <c r="M6" i="38"/>
  <c r="M17" i="38"/>
  <c r="M16" i="38"/>
  <c r="M14" i="38"/>
  <c r="M9" i="38"/>
  <c r="O9" i="38" s="1"/>
  <c r="P9" i="38" s="1"/>
  <c r="O32" i="39"/>
  <c r="O31" i="39"/>
  <c r="L9" i="39"/>
  <c r="L16" i="39"/>
  <c r="N16" i="39" s="1"/>
  <c r="L8" i="39"/>
  <c r="L5" i="39"/>
  <c r="L15" i="39"/>
  <c r="N15" i="39" s="1"/>
  <c r="L6" i="39"/>
  <c r="L10" i="39"/>
  <c r="N10" i="39" s="1"/>
  <c r="L7" i="39"/>
  <c r="L11" i="39"/>
  <c r="N11" i="39" s="1"/>
  <c r="L40" i="39"/>
  <c r="L41" i="39"/>
  <c r="N41" i="39" s="1"/>
  <c r="L44" i="39"/>
  <c r="N44" i="39" s="1"/>
  <c r="L39" i="39"/>
  <c r="L37" i="39"/>
  <c r="L38" i="39"/>
  <c r="L35" i="39"/>
  <c r="L36" i="39"/>
  <c r="L34" i="39"/>
  <c r="L23" i="38"/>
  <c r="L21" i="38"/>
  <c r="L22" i="38"/>
  <c r="L20" i="38"/>
  <c r="O18" i="38"/>
  <c r="O15" i="38"/>
  <c r="P15" i="38" s="1"/>
  <c r="O12" i="38"/>
  <c r="O11" i="38"/>
  <c r="O10" i="38"/>
  <c r="O8" i="38"/>
  <c r="O5" i="38"/>
  <c r="L6" i="38"/>
  <c r="O6" i="38" s="1"/>
  <c r="L13" i="38"/>
  <c r="O13" i="38" s="1"/>
  <c r="L14" i="38"/>
  <c r="L16" i="38"/>
  <c r="O16" i="38" s="1"/>
  <c r="L17" i="38"/>
  <c r="L7" i="38"/>
  <c r="O7" i="38" s="1"/>
  <c r="K8" i="39"/>
  <c r="K9" i="39"/>
  <c r="N9" i="39" s="1"/>
  <c r="K5" i="39"/>
  <c r="K7" i="39"/>
  <c r="N7" i="39" s="1"/>
  <c r="K6" i="39"/>
  <c r="N6" i="39" s="1"/>
  <c r="K38" i="39"/>
  <c r="K37" i="39"/>
  <c r="K39" i="39"/>
  <c r="K40" i="39"/>
  <c r="K47" i="39"/>
  <c r="N47" i="39" s="1"/>
  <c r="K34" i="39"/>
  <c r="K36" i="39"/>
  <c r="K35" i="39"/>
  <c r="J51" i="39"/>
  <c r="M51" i="39" s="1"/>
  <c r="J46" i="39"/>
  <c r="J44" i="39"/>
  <c r="J40" i="39"/>
  <c r="J43" i="39"/>
  <c r="J39" i="39"/>
  <c r="J49" i="39"/>
  <c r="M49" i="39" s="1"/>
  <c r="O49" i="39" s="1"/>
  <c r="J36" i="39"/>
  <c r="J42" i="39"/>
  <c r="J34" i="39"/>
  <c r="J35" i="39"/>
  <c r="K23" i="38"/>
  <c r="K21" i="38"/>
  <c r="K20" i="38"/>
  <c r="K22" i="38"/>
  <c r="K8" i="38"/>
  <c r="N8" i="38" s="1"/>
  <c r="K6" i="38"/>
  <c r="K17" i="38"/>
  <c r="K16" i="38"/>
  <c r="J7" i="39"/>
  <c r="J26" i="39"/>
  <c r="M26" i="39" s="1"/>
  <c r="O26" i="39" s="1"/>
  <c r="J13" i="39"/>
  <c r="J11" i="39"/>
  <c r="J25" i="39"/>
  <c r="M25" i="39" s="1"/>
  <c r="O25" i="39" s="1"/>
  <c r="J17" i="39"/>
  <c r="J10" i="39"/>
  <c r="J22" i="39"/>
  <c r="M22" i="39" s="1"/>
  <c r="O22" i="39" s="1"/>
  <c r="J8" i="39"/>
  <c r="J9" i="39"/>
  <c r="J12" i="39"/>
  <c r="J5" i="39"/>
  <c r="J14" i="39"/>
  <c r="J18" i="38"/>
  <c r="J17" i="38"/>
  <c r="N17" i="38" s="1"/>
  <c r="J23" i="38"/>
  <c r="J16" i="38"/>
  <c r="J22" i="38"/>
  <c r="I45" i="39"/>
  <c r="I44" i="39"/>
  <c r="I46" i="39"/>
  <c r="I39" i="39"/>
  <c r="I41" i="39"/>
  <c r="I38" i="39"/>
  <c r="I43" i="39"/>
  <c r="I11" i="39"/>
  <c r="I6" i="39"/>
  <c r="I10" i="39"/>
  <c r="I19" i="39"/>
  <c r="M19" i="39" s="1"/>
  <c r="O19" i="39" s="1"/>
  <c r="I5" i="39"/>
  <c r="I14" i="39"/>
  <c r="G43" i="39"/>
  <c r="E35" i="39"/>
  <c r="I21" i="38"/>
  <c r="I20" i="38"/>
  <c r="I22" i="38"/>
  <c r="I11" i="38"/>
  <c r="I10" i="38"/>
  <c r="I7" i="38"/>
  <c r="N7" i="38" s="1"/>
  <c r="I6" i="38"/>
  <c r="I17" i="38"/>
  <c r="I16" i="38"/>
  <c r="H50" i="39"/>
  <c r="M50" i="39" s="1"/>
  <c r="O50" i="39" s="1"/>
  <c r="H39" i="39"/>
  <c r="H38" i="39"/>
  <c r="H41" i="39"/>
  <c r="H42" i="39"/>
  <c r="H37" i="39"/>
  <c r="H36" i="39"/>
  <c r="H34" i="39"/>
  <c r="H27" i="39"/>
  <c r="M27" i="39" s="1"/>
  <c r="O27" i="39" s="1"/>
  <c r="H13" i="39"/>
  <c r="H7" i="39"/>
  <c r="H11" i="39"/>
  <c r="H6" i="39"/>
  <c r="H9" i="39"/>
  <c r="H10" i="39"/>
  <c r="H5" i="39"/>
  <c r="P19" i="38"/>
  <c r="Q1048566" i="38"/>
  <c r="H21" i="38"/>
  <c r="G34" i="39"/>
  <c r="G45" i="39"/>
  <c r="G39" i="39"/>
  <c r="G41" i="39"/>
  <c r="G35" i="39"/>
  <c r="G38" i="39"/>
  <c r="G36" i="39"/>
  <c r="G37" i="39"/>
  <c r="O30" i="39"/>
  <c r="O29" i="39"/>
  <c r="G12" i="39"/>
  <c r="G9" i="39"/>
  <c r="G21" i="39"/>
  <c r="M21" i="39" s="1"/>
  <c r="O21" i="39" s="1"/>
  <c r="G7" i="39"/>
  <c r="G6" i="39"/>
  <c r="G8" i="39"/>
  <c r="G18" i="39"/>
  <c r="M18" i="39" s="1"/>
  <c r="O18" i="39" s="1"/>
  <c r="G5" i="39"/>
  <c r="H23" i="38"/>
  <c r="H22" i="38"/>
  <c r="H17" i="38"/>
  <c r="H6" i="38"/>
  <c r="H16" i="38"/>
  <c r="G5" i="38"/>
  <c r="N5" i="38" s="1"/>
  <c r="G6" i="38"/>
  <c r="F12" i="38"/>
  <c r="N12" i="38" s="1"/>
  <c r="F18" i="38"/>
  <c r="F16" i="38"/>
  <c r="F45" i="39"/>
  <c r="F37" i="39"/>
  <c r="F40" i="39"/>
  <c r="F47" i="39"/>
  <c r="M47" i="39" s="1"/>
  <c r="F38" i="39"/>
  <c r="F39" i="39"/>
  <c r="F36" i="39"/>
  <c r="F35" i="39"/>
  <c r="F34" i="39"/>
  <c r="E5" i="39"/>
  <c r="F5" i="39"/>
  <c r="E15" i="39"/>
  <c r="M15" i="39" s="1"/>
  <c r="E10" i="39"/>
  <c r="E7" i="39"/>
  <c r="F13" i="39"/>
  <c r="F24" i="39"/>
  <c r="M24" i="39" s="1"/>
  <c r="O24" i="39" s="1"/>
  <c r="F23" i="39"/>
  <c r="M23" i="39" s="1"/>
  <c r="O23" i="39" s="1"/>
  <c r="F6" i="39"/>
  <c r="F11" i="39"/>
  <c r="F7" i="39"/>
  <c r="F8" i="39"/>
  <c r="F12" i="39"/>
  <c r="F16" i="39"/>
  <c r="M16" i="39" s="1"/>
  <c r="E40" i="39"/>
  <c r="E42" i="39"/>
  <c r="E48" i="39"/>
  <c r="M48" i="39" s="1"/>
  <c r="E37" i="39"/>
  <c r="E34" i="39"/>
  <c r="E28" i="39"/>
  <c r="M28" i="39" s="1"/>
  <c r="O28" i="39" s="1"/>
  <c r="E11" i="39"/>
  <c r="E17" i="39"/>
  <c r="E20" i="39"/>
  <c r="M20" i="39" s="1"/>
  <c r="O20" i="39" s="1"/>
  <c r="E8" i="39"/>
  <c r="E6" i="39"/>
  <c r="G22" i="38"/>
  <c r="F23" i="38"/>
  <c r="F20" i="38"/>
  <c r="O17" i="38" l="1"/>
  <c r="P17" i="38" s="1"/>
  <c r="O14" i="38"/>
  <c r="P14" i="38" s="1"/>
  <c r="P13" i="38"/>
  <c r="P5" i="38"/>
  <c r="N5" i="39"/>
  <c r="N8" i="39"/>
  <c r="N38" i="39"/>
  <c r="O15" i="39"/>
  <c r="O16" i="39"/>
  <c r="N35" i="39"/>
  <c r="N40" i="39"/>
  <c r="N36" i="39"/>
  <c r="N39" i="39"/>
  <c r="N34" i="39"/>
  <c r="N37" i="39"/>
  <c r="P8" i="38"/>
  <c r="P7" i="38"/>
  <c r="O47" i="39"/>
  <c r="O51" i="39"/>
  <c r="M43" i="39"/>
  <c r="O43" i="39" s="1"/>
  <c r="M36" i="39"/>
  <c r="M42" i="39"/>
  <c r="O42" i="39" s="1"/>
  <c r="M40" i="39"/>
  <c r="O40" i="39" s="1"/>
  <c r="M35" i="39"/>
  <c r="M46" i="39"/>
  <c r="O46" i="39" s="1"/>
  <c r="M44" i="39"/>
  <c r="O44" i="39" s="1"/>
  <c r="M14" i="39"/>
  <c r="M8" i="39"/>
  <c r="O8" i="39" s="1"/>
  <c r="N21" i="38"/>
  <c r="N20" i="38"/>
  <c r="P20" i="38" s="1"/>
  <c r="N23" i="38"/>
  <c r="P23" i="38" s="1"/>
  <c r="N18" i="38"/>
  <c r="P18" i="38" s="1"/>
  <c r="N16" i="38"/>
  <c r="N22" i="38"/>
  <c r="P22" i="38" s="1"/>
  <c r="N6" i="38"/>
  <c r="P6" i="38" s="1"/>
  <c r="M17" i="39"/>
  <c r="O17" i="39" s="1"/>
  <c r="M12" i="39"/>
  <c r="O12" i="39" s="1"/>
  <c r="M9" i="39"/>
  <c r="O9" i="39" s="1"/>
  <c r="M13" i="39"/>
  <c r="O13" i="39" s="1"/>
  <c r="M41" i="39"/>
  <c r="O41" i="39" s="1"/>
  <c r="M45" i="39"/>
  <c r="O45" i="39" s="1"/>
  <c r="O14" i="39"/>
  <c r="M39" i="39"/>
  <c r="M38" i="39"/>
  <c r="O38" i="39" s="1"/>
  <c r="M5" i="39"/>
  <c r="O5" i="39" s="1"/>
  <c r="M10" i="39"/>
  <c r="O10" i="39" s="1"/>
  <c r="N10" i="38"/>
  <c r="P10" i="38" s="1"/>
  <c r="P21" i="38"/>
  <c r="N11" i="38"/>
  <c r="P11" i="38" s="1"/>
  <c r="M37" i="39"/>
  <c r="O37" i="39" s="1"/>
  <c r="M34" i="39"/>
  <c r="M6" i="39"/>
  <c r="O6" i="39" s="1"/>
  <c r="M11" i="39"/>
  <c r="O11" i="39" s="1"/>
  <c r="O48" i="39"/>
  <c r="M7" i="39"/>
  <c r="O7" i="39" s="1"/>
  <c r="P16" i="38"/>
  <c r="P12" i="38"/>
  <c r="O36" i="39" l="1"/>
  <c r="O35" i="39"/>
  <c r="O34" i="39"/>
  <c r="O39" i="39"/>
</calcChain>
</file>

<file path=xl/sharedStrings.xml><?xml version="1.0" encoding="utf-8"?>
<sst xmlns="http://schemas.openxmlformats.org/spreadsheetml/2006/main" count="859" uniqueCount="379">
  <si>
    <t>차윤선</t>
    <phoneticPr fontId="5" type="noConversion"/>
  </si>
  <si>
    <t>박지규</t>
    <phoneticPr fontId="5" type="noConversion"/>
  </si>
  <si>
    <t>배유상</t>
    <phoneticPr fontId="5" type="noConversion"/>
  </si>
  <si>
    <t>박산하</t>
    <phoneticPr fontId="5" type="noConversion"/>
  </si>
  <si>
    <t>지태성</t>
    <phoneticPr fontId="5" type="noConversion"/>
  </si>
  <si>
    <t>조성빈</t>
    <phoneticPr fontId="5" type="noConversion"/>
  </si>
  <si>
    <t>엘리트</t>
    <phoneticPr fontId="5" type="noConversion"/>
  </si>
  <si>
    <t>남</t>
    <phoneticPr fontId="5" type="noConversion"/>
  </si>
  <si>
    <t>여</t>
    <phoneticPr fontId="5" type="noConversion"/>
  </si>
  <si>
    <t>홍건희</t>
    <phoneticPr fontId="5" type="noConversion"/>
  </si>
  <si>
    <t>정범진</t>
    <phoneticPr fontId="5" type="noConversion"/>
  </si>
  <si>
    <t>김현석</t>
    <phoneticPr fontId="5" type="noConversion"/>
  </si>
  <si>
    <t>최현주</t>
    <phoneticPr fontId="5" type="noConversion"/>
  </si>
  <si>
    <t>박경아</t>
    <phoneticPr fontId="5" type="noConversion"/>
  </si>
  <si>
    <t>서울시 대표선수</t>
    <phoneticPr fontId="5" type="noConversion"/>
  </si>
  <si>
    <t>고등부</t>
    <phoneticPr fontId="5" type="noConversion"/>
  </si>
  <si>
    <t>중등부</t>
    <phoneticPr fontId="5" type="noConversion"/>
  </si>
  <si>
    <t>문태민</t>
    <phoneticPr fontId="5" type="noConversion"/>
  </si>
  <si>
    <t>하정수</t>
    <phoneticPr fontId="5" type="noConversion"/>
  </si>
  <si>
    <t>이하민</t>
    <phoneticPr fontId="5" type="noConversion"/>
  </si>
  <si>
    <t>초등부</t>
    <phoneticPr fontId="5" type="noConversion"/>
  </si>
  <si>
    <t>원서진</t>
    <phoneticPr fontId="5" type="noConversion"/>
  </si>
  <si>
    <t>유예진</t>
    <phoneticPr fontId="5" type="noConversion"/>
  </si>
  <si>
    <t>정재환</t>
    <phoneticPr fontId="5" type="noConversion"/>
  </si>
  <si>
    <t>구분</t>
    <phoneticPr fontId="5" type="noConversion"/>
  </si>
  <si>
    <t>우건우</t>
    <phoneticPr fontId="5" type="noConversion"/>
  </si>
  <si>
    <t>원지수</t>
    <phoneticPr fontId="5" type="noConversion"/>
  </si>
  <si>
    <t>원서정</t>
    <phoneticPr fontId="5" type="noConversion"/>
  </si>
  <si>
    <t xml:space="preserve">2015 경기도연맹 대표선수 선발전 집계표 </t>
  </si>
  <si>
    <t xml:space="preserve"> 일반부 </t>
  </si>
  <si>
    <t xml:space="preserve"> 성별 </t>
  </si>
  <si>
    <t xml:space="preserve"> 성명 </t>
  </si>
  <si>
    <t xml:space="preserve"> 소속 </t>
  </si>
  <si>
    <t xml:space="preserve"> 클래스 </t>
  </si>
  <si>
    <t xml:space="preserve"> 2월친선경기 </t>
  </si>
  <si>
    <t xml:space="preserve"> 3월 친선경기 </t>
  </si>
  <si>
    <t xml:space="preserve"> 경북대회 </t>
  </si>
  <si>
    <t xml:space="preserve"> 4월 친선경기 </t>
  </si>
  <si>
    <t xml:space="preserve"> 종합기록(3개) </t>
  </si>
  <si>
    <t xml:space="preserve"> 기록 </t>
  </si>
  <si>
    <t xml:space="preserve"> 득점 </t>
  </si>
  <si>
    <t xml:space="preserve"> 순위 </t>
  </si>
  <si>
    <t xml:space="preserve"> 남 </t>
  </si>
  <si>
    <t xml:space="preserve"> 1위 기록(초) </t>
  </si>
  <si>
    <t xml:space="preserve"> ME </t>
  </si>
  <si>
    <t xml:space="preserve"> M21E </t>
  </si>
  <si>
    <t xml:space="preserve"> 이광우 </t>
  </si>
  <si>
    <t xml:space="preserve"> 양평군연맹 </t>
  </si>
  <si>
    <t xml:space="preserve"> 박종현 </t>
  </si>
  <si>
    <t xml:space="preserve"> 나르샤경기 </t>
  </si>
  <si>
    <t xml:space="preserve">       - </t>
  </si>
  <si>
    <t xml:space="preserve"> 김남권 </t>
  </si>
  <si>
    <t xml:space="preserve"> 안양무지개 </t>
  </si>
  <si>
    <t xml:space="preserve"> 소병조 </t>
  </si>
  <si>
    <t xml:space="preserve"> BOC </t>
  </si>
  <si>
    <t xml:space="preserve"> 권오삼 </t>
  </si>
  <si>
    <t xml:space="preserve"> 김준배 </t>
  </si>
  <si>
    <t xml:space="preserve"> BOFC </t>
  </si>
  <si>
    <t xml:space="preserve"> 서원하 </t>
  </si>
  <si>
    <t xml:space="preserve"> 정종현 </t>
  </si>
  <si>
    <t xml:space="preserve"> 조경연 </t>
  </si>
  <si>
    <t xml:space="preserve"> 정인철 </t>
  </si>
  <si>
    <t xml:space="preserve"> 북극성 </t>
  </si>
  <si>
    <t xml:space="preserve"> 진영필 </t>
  </si>
  <si>
    <t xml:space="preserve"> RST </t>
  </si>
  <si>
    <t xml:space="preserve"> 양은일 </t>
  </si>
  <si>
    <t xml:space="preserve"> 민경완 </t>
  </si>
  <si>
    <t xml:space="preserve"> AOC </t>
  </si>
  <si>
    <t xml:space="preserve"> Disq </t>
  </si>
  <si>
    <t xml:space="preserve"> 여 </t>
  </si>
  <si>
    <t xml:space="preserve"> WE </t>
  </si>
  <si>
    <t xml:space="preserve"> W21E </t>
  </si>
  <si>
    <t xml:space="preserve"> 신미화 </t>
  </si>
  <si>
    <t xml:space="preserve"> 김현정 </t>
  </si>
  <si>
    <t xml:space="preserve"> 임은주 </t>
  </si>
  <si>
    <t xml:space="preserve"> 최득실 </t>
  </si>
  <si>
    <t xml:space="preserve"> 대학부 </t>
  </si>
  <si>
    <t xml:space="preserve"> - </t>
  </si>
  <si>
    <t xml:space="preserve"> 상급 </t>
  </si>
  <si>
    <t xml:space="preserve"> 권혁민 </t>
  </si>
  <si>
    <t xml:space="preserve"> 고등부 </t>
  </si>
  <si>
    <t>-</t>
  </si>
  <si>
    <t xml:space="preserve"> 중급 </t>
  </si>
  <si>
    <t xml:space="preserve"> 남채린 </t>
  </si>
  <si>
    <t xml:space="preserve"> BOC클럽 </t>
  </si>
  <si>
    <t>서울 성남시 수정구 수정로 289, 103-1107(신흥주공A)</t>
  </si>
  <si>
    <t>서울 송파구 마천동 184-33</t>
  </si>
  <si>
    <t>010-6218-0389</t>
  </si>
  <si>
    <t>경기 의정부 민락동 544-7 JS홈타운 B-301</t>
  </si>
  <si>
    <t>010-3025-6838</t>
  </si>
  <si>
    <t>경기 용인시 기흥구 마북동 624 연원마을 삼성쉐르빌202-502</t>
  </si>
  <si>
    <t>엄마</t>
  </si>
  <si>
    <t>조현이</t>
  </si>
  <si>
    <t>경기 남양주시 화도읍 소래비로 130 104-1102(서희스타힐스A)</t>
  </si>
  <si>
    <t>강호준</t>
  </si>
  <si>
    <t>고3</t>
  </si>
  <si>
    <t>2016년 서울시연맹 대표선수 명단</t>
    <phoneticPr fontId="5" type="noConversion"/>
  </si>
  <si>
    <t>구    분</t>
    <phoneticPr fontId="5" type="noConversion"/>
  </si>
  <si>
    <t>이름</t>
    <phoneticPr fontId="5" type="noConversion"/>
  </si>
  <si>
    <t>연령</t>
    <phoneticPr fontId="5" type="noConversion"/>
  </si>
  <si>
    <t>연락처</t>
    <phoneticPr fontId="5" type="noConversion"/>
  </si>
  <si>
    <t>생년월일</t>
    <phoneticPr fontId="5" type="noConversion"/>
  </si>
  <si>
    <t>주            소</t>
    <phoneticPr fontId="5" type="noConversion"/>
  </si>
  <si>
    <t>가 족</t>
    <phoneticPr fontId="5" type="noConversion"/>
  </si>
  <si>
    <t>소 속</t>
    <phoneticPr fontId="5" type="noConversion"/>
  </si>
  <si>
    <t>선수등록번호</t>
    <phoneticPr fontId="5" type="noConversion"/>
  </si>
  <si>
    <t>SI카드</t>
    <phoneticPr fontId="5" type="noConversion"/>
  </si>
  <si>
    <t>감 독</t>
    <phoneticPr fontId="5" type="noConversion"/>
  </si>
  <si>
    <t>남</t>
    <phoneticPr fontId="5" type="noConversion"/>
  </si>
  <si>
    <t>유병구</t>
    <phoneticPr fontId="5" type="noConversion"/>
  </si>
  <si>
    <t>010-2070-0761</t>
    <phoneticPr fontId="5" type="noConversion"/>
  </si>
  <si>
    <t>경기 남양주시 화도읍 소래비로 130 104-1102(서희스타힐스A)</t>
    <phoneticPr fontId="5" type="noConversion"/>
  </si>
  <si>
    <t>차즈마</t>
    <phoneticPr fontId="5" type="noConversion"/>
  </si>
  <si>
    <t>일반부</t>
    <phoneticPr fontId="5" type="noConversion"/>
  </si>
  <si>
    <t>홍건희</t>
    <phoneticPr fontId="5" type="noConversion"/>
  </si>
  <si>
    <t>010-7412-1240</t>
    <phoneticPr fontId="5" type="noConversion"/>
  </si>
  <si>
    <t>860422</t>
    <phoneticPr fontId="5" type="noConversion"/>
  </si>
  <si>
    <t>서울 송파구 잠실4동 파크리오A 118-1701</t>
    <phoneticPr fontId="5" type="noConversion"/>
  </si>
  <si>
    <t>나르샤</t>
    <phoneticPr fontId="5" type="noConversion"/>
  </si>
  <si>
    <t>김현석</t>
    <phoneticPr fontId="5" type="noConversion"/>
  </si>
  <si>
    <t>010-6668-3972</t>
    <phoneticPr fontId="5" type="noConversion"/>
  </si>
  <si>
    <t>901211</t>
    <phoneticPr fontId="5" type="noConversion"/>
  </si>
  <si>
    <t xml:space="preserve">서울 중랑구 묵1동 159-17 </t>
    <phoneticPr fontId="5" type="noConversion"/>
  </si>
  <si>
    <t>아빠</t>
    <phoneticPr fontId="5" type="noConversion"/>
  </si>
  <si>
    <t>김호용</t>
    <phoneticPr fontId="5" type="noConversion"/>
  </si>
  <si>
    <t>천리안</t>
    <phoneticPr fontId="5" type="noConversion"/>
  </si>
  <si>
    <t>정종근</t>
    <phoneticPr fontId="5" type="noConversion"/>
  </si>
  <si>
    <t>010-3181-2658</t>
  </si>
  <si>
    <t>600701</t>
    <phoneticPr fontId="5" type="noConversion"/>
  </si>
  <si>
    <t>포리스트</t>
    <phoneticPr fontId="5" type="noConversion"/>
  </si>
  <si>
    <t>하태현</t>
    <phoneticPr fontId="5" type="noConversion"/>
  </si>
  <si>
    <t>010-3223-8086</t>
  </si>
  <si>
    <t>471104</t>
    <phoneticPr fontId="5" type="noConversion"/>
  </si>
  <si>
    <t>여</t>
    <phoneticPr fontId="5" type="noConversion"/>
  </si>
  <si>
    <t>최현주</t>
    <phoneticPr fontId="5" type="noConversion"/>
  </si>
  <si>
    <t>010-2459-3072</t>
    <phoneticPr fontId="5" type="noConversion"/>
  </si>
  <si>
    <t>780124</t>
    <phoneticPr fontId="5" type="noConversion"/>
  </si>
  <si>
    <t>서울 노원구 덕암로94가길 20, 청암A 204-403</t>
    <phoneticPr fontId="5" type="noConversion"/>
  </si>
  <si>
    <t>차윤선</t>
    <phoneticPr fontId="5" type="noConversion"/>
  </si>
  <si>
    <t>010-3932-2794</t>
    <phoneticPr fontId="5" type="noConversion"/>
  </si>
  <si>
    <t>820323</t>
    <phoneticPr fontId="5" type="noConversion"/>
  </si>
  <si>
    <t>서울 은평구 증산로 285 중앙하이츠 204호</t>
    <phoneticPr fontId="5" type="noConversion"/>
  </si>
  <si>
    <t>이석화</t>
    <phoneticPr fontId="5" type="noConversion"/>
  </si>
  <si>
    <t>010-7474-5696</t>
    <phoneticPr fontId="5" type="noConversion"/>
  </si>
  <si>
    <t>881217</t>
    <phoneticPr fontId="5" type="noConversion"/>
  </si>
  <si>
    <t>대구시 북구 학정동 두산A 101-308</t>
    <phoneticPr fontId="5" type="noConversion"/>
  </si>
  <si>
    <t>대학부</t>
    <phoneticPr fontId="5" type="noConversion"/>
  </si>
  <si>
    <t>우건우</t>
    <phoneticPr fontId="5" type="noConversion"/>
  </si>
  <si>
    <t>010-7761-7896</t>
    <phoneticPr fontId="5" type="noConversion"/>
  </si>
  <si>
    <t>971219</t>
    <phoneticPr fontId="5" type="noConversion"/>
  </si>
  <si>
    <t>경기 시흥시 신천동 703-23 3층</t>
    <phoneticPr fontId="5" type="noConversion"/>
  </si>
  <si>
    <t>우평식</t>
    <phoneticPr fontId="5" type="noConversion"/>
  </si>
  <si>
    <t>20</t>
    <phoneticPr fontId="5" type="noConversion"/>
  </si>
  <si>
    <t>010-3770-6927</t>
    <phoneticPr fontId="5" type="noConversion"/>
  </si>
  <si>
    <t>970703</t>
    <phoneticPr fontId="5" type="noConversion"/>
  </si>
  <si>
    <t>IT고</t>
    <phoneticPr fontId="5" type="noConversion"/>
  </si>
  <si>
    <t>대표의사 확인</t>
    <phoneticPr fontId="5" type="noConversion"/>
  </si>
  <si>
    <t>여</t>
    <phoneticPr fontId="5" type="noConversion"/>
  </si>
  <si>
    <t>박산하</t>
    <phoneticPr fontId="5" type="noConversion"/>
  </si>
  <si>
    <t>010-2693-5363</t>
    <phoneticPr fontId="5" type="noConversion"/>
  </si>
  <si>
    <t>970220</t>
    <phoneticPr fontId="5" type="noConversion"/>
  </si>
  <si>
    <t>차즈마</t>
    <phoneticPr fontId="5" type="noConversion"/>
  </si>
  <si>
    <t>남</t>
    <phoneticPr fontId="5" type="noConversion"/>
  </si>
  <si>
    <t>하정수</t>
    <phoneticPr fontId="5" type="noConversion"/>
  </si>
  <si>
    <t>고1</t>
    <phoneticPr fontId="5" type="noConversion"/>
  </si>
  <si>
    <t>010-3223-8086</t>
    <phoneticPr fontId="5" type="noConversion"/>
  </si>
  <si>
    <t>000824</t>
    <phoneticPr fontId="5" type="noConversion"/>
  </si>
  <si>
    <t>아빠</t>
    <phoneticPr fontId="5" type="noConversion"/>
  </si>
  <si>
    <t>하태현</t>
    <phoneticPr fontId="5" type="noConversion"/>
  </si>
  <si>
    <t>포리스트</t>
    <phoneticPr fontId="5" type="noConversion"/>
  </si>
  <si>
    <t>박준형</t>
    <phoneticPr fontId="5" type="noConversion"/>
  </si>
  <si>
    <t>고3</t>
    <phoneticPr fontId="5" type="noConversion"/>
  </si>
  <si>
    <t>010-4035-8577</t>
    <phoneticPr fontId="5" type="noConversion"/>
  </si>
  <si>
    <t>980914</t>
    <phoneticPr fontId="5" type="noConversion"/>
  </si>
  <si>
    <t>아이티고</t>
    <phoneticPr fontId="5" type="noConversion"/>
  </si>
  <si>
    <t>남</t>
    <phoneticPr fontId="5" type="noConversion"/>
  </si>
  <si>
    <t>정장호</t>
    <phoneticPr fontId="5" type="noConversion"/>
  </si>
  <si>
    <t>010-4579-3219</t>
    <phoneticPr fontId="5" type="noConversion"/>
  </si>
  <si>
    <t>981012</t>
    <phoneticPr fontId="5" type="noConversion"/>
  </si>
  <si>
    <t>박성수</t>
    <phoneticPr fontId="5" type="noConversion"/>
  </si>
  <si>
    <t>양지훈</t>
    <phoneticPr fontId="5" type="noConversion"/>
  </si>
  <si>
    <t>여</t>
    <phoneticPr fontId="5" type="noConversion"/>
  </si>
  <si>
    <t>원지수</t>
    <phoneticPr fontId="5" type="noConversion"/>
  </si>
  <si>
    <t>고3</t>
    <phoneticPr fontId="5" type="noConversion"/>
  </si>
  <si>
    <t>010-3025-6838</t>
    <phoneticPr fontId="5" type="noConversion"/>
  </si>
  <si>
    <t>981024</t>
    <phoneticPr fontId="5" type="noConversion"/>
  </si>
  <si>
    <t>경기 용인시 기흥구 마북동 624 연원마을 삼성쉐르빌202-502</t>
    <phoneticPr fontId="5" type="noConversion"/>
  </si>
  <si>
    <t>엄마</t>
    <phoneticPr fontId="5" type="noConversion"/>
  </si>
  <si>
    <t>조현이</t>
    <phoneticPr fontId="5" type="noConversion"/>
  </si>
  <si>
    <t>나르샤</t>
    <phoneticPr fontId="5" type="noConversion"/>
  </si>
  <si>
    <t>한아름</t>
    <phoneticPr fontId="5" type="noConversion"/>
  </si>
  <si>
    <t>010-8897-1892</t>
    <phoneticPr fontId="5" type="noConversion"/>
  </si>
  <si>
    <t>980423</t>
    <phoneticPr fontId="5" type="noConversion"/>
  </si>
  <si>
    <t>한호희</t>
    <phoneticPr fontId="5" type="noConversion"/>
  </si>
  <si>
    <t>중등부</t>
    <phoneticPr fontId="5" type="noConversion"/>
  </si>
  <si>
    <t>문태민</t>
    <phoneticPr fontId="5" type="noConversion"/>
  </si>
  <si>
    <t>중3</t>
    <phoneticPr fontId="5" type="noConversion"/>
  </si>
  <si>
    <t>010-9077-9214</t>
    <phoneticPr fontId="5" type="noConversion"/>
  </si>
  <si>
    <t>010423</t>
    <phoneticPr fontId="5" type="noConversion"/>
  </si>
  <si>
    <t>서울 강북구 오현로 6길 90</t>
    <phoneticPr fontId="5" type="noConversion"/>
  </si>
  <si>
    <t>문행식</t>
    <phoneticPr fontId="5" type="noConversion"/>
  </si>
  <si>
    <t>임효진</t>
    <phoneticPr fontId="5" type="noConversion"/>
  </si>
  <si>
    <t>010724</t>
    <phoneticPr fontId="5" type="noConversion"/>
  </si>
  <si>
    <t>공   숙</t>
    <phoneticPr fontId="5" type="noConversion"/>
  </si>
  <si>
    <t>김태윤</t>
    <phoneticPr fontId="5" type="noConversion"/>
  </si>
  <si>
    <t>중1</t>
    <phoneticPr fontId="5" type="noConversion"/>
  </si>
  <si>
    <t>010-3269-8177</t>
    <phoneticPr fontId="5" type="noConversion"/>
  </si>
  <si>
    <t>031209</t>
    <phoneticPr fontId="5" type="noConversion"/>
  </si>
  <si>
    <t>경기 남양주시 별내면 청학리 주공A 303-1503</t>
    <phoneticPr fontId="5" type="noConversion"/>
  </si>
  <si>
    <t>김영삼</t>
    <phoneticPr fontId="5" type="noConversion"/>
  </si>
  <si>
    <t>한재혁</t>
    <phoneticPr fontId="5" type="noConversion"/>
  </si>
  <si>
    <t>010619</t>
    <phoneticPr fontId="5" type="noConversion"/>
  </si>
  <si>
    <t>서울 송파구 마천동 184-33</t>
    <phoneticPr fontId="5" type="noConversion"/>
  </si>
  <si>
    <t>김민성</t>
    <phoneticPr fontId="5" type="noConversion"/>
  </si>
  <si>
    <t>010-3804-4401</t>
    <phoneticPr fontId="5" type="noConversion"/>
  </si>
  <si>
    <t>031215</t>
    <phoneticPr fontId="5" type="noConversion"/>
  </si>
  <si>
    <t>경기 수원시 영통구 덕영대로 1555-20, 941-705(롯데A)</t>
    <phoneticPr fontId="5" type="noConversion"/>
  </si>
  <si>
    <t>김종화</t>
    <phoneticPr fontId="5" type="noConversion"/>
  </si>
  <si>
    <t>원서진</t>
    <phoneticPr fontId="5" type="noConversion"/>
  </si>
  <si>
    <t>010220</t>
    <phoneticPr fontId="5" type="noConversion"/>
  </si>
  <si>
    <t>원서정</t>
    <phoneticPr fontId="5" type="noConversion"/>
  </si>
  <si>
    <t>권여정</t>
    <phoneticPr fontId="5" type="noConversion"/>
  </si>
  <si>
    <t>010-2253-6580</t>
    <phoneticPr fontId="5" type="noConversion"/>
  </si>
  <si>
    <t>010307</t>
    <phoneticPr fontId="5" type="noConversion"/>
  </si>
  <si>
    <t>윤현순</t>
    <phoneticPr fontId="5" type="noConversion"/>
  </si>
  <si>
    <t>이하민</t>
    <phoneticPr fontId="5" type="noConversion"/>
  </si>
  <si>
    <t>011-9743-2744</t>
    <phoneticPr fontId="5" type="noConversion"/>
  </si>
  <si>
    <t>030221</t>
    <phoneticPr fontId="5" type="noConversion"/>
  </si>
  <si>
    <t>이종석</t>
    <phoneticPr fontId="5" type="noConversion"/>
  </si>
  <si>
    <t>별무리</t>
    <phoneticPr fontId="5" type="noConversion"/>
  </si>
  <si>
    <t>유예진</t>
    <phoneticPr fontId="5" type="noConversion"/>
  </si>
  <si>
    <t>010-2070-0761</t>
    <phoneticPr fontId="5" type="noConversion"/>
  </si>
  <si>
    <t>031017</t>
    <phoneticPr fontId="5" type="noConversion"/>
  </si>
  <si>
    <t>유병구</t>
    <phoneticPr fontId="5" type="noConversion"/>
  </si>
  <si>
    <t>임이슬</t>
    <phoneticPr fontId="5" type="noConversion"/>
  </si>
  <si>
    <t>030201</t>
    <phoneticPr fontId="5" type="noConversion"/>
  </si>
  <si>
    <t>경기 의정부 민락동 544-7 JS홈타운 B-301</t>
    <phoneticPr fontId="5" type="noConversion"/>
  </si>
  <si>
    <t>초등부</t>
    <phoneticPr fontId="5" type="noConversion"/>
  </si>
  <si>
    <t>문영민</t>
    <phoneticPr fontId="5" type="noConversion"/>
  </si>
  <si>
    <t>초5</t>
    <phoneticPr fontId="5" type="noConversion"/>
  </si>
  <si>
    <t>051215</t>
    <phoneticPr fontId="5" type="noConversion"/>
  </si>
  <si>
    <t>초4</t>
    <phoneticPr fontId="5" type="noConversion"/>
  </si>
  <si>
    <t>서성우</t>
    <phoneticPr fontId="5" type="noConversion"/>
  </si>
  <si>
    <t>초6</t>
    <phoneticPr fontId="5" type="noConversion"/>
  </si>
  <si>
    <t>040304</t>
    <phoneticPr fontId="5" type="noConversion"/>
  </si>
  <si>
    <t>김단우</t>
    <phoneticPr fontId="5" type="noConversion"/>
  </si>
  <si>
    <t>010-6577-5954</t>
    <phoneticPr fontId="5" type="noConversion"/>
  </si>
  <si>
    <t>박경애</t>
    <phoneticPr fontId="5" type="noConversion"/>
  </si>
  <si>
    <t>김채현</t>
    <phoneticPr fontId="5" type="noConversion"/>
  </si>
  <si>
    <t>050328</t>
    <phoneticPr fontId="5" type="noConversion"/>
  </si>
  <si>
    <t>임가온</t>
    <phoneticPr fontId="5" type="noConversion"/>
  </si>
  <si>
    <t>010-6218-0389</t>
    <phoneticPr fontId="5" type="noConversion"/>
  </si>
  <si>
    <t>060304</t>
    <phoneticPr fontId="5" type="noConversion"/>
  </si>
  <si>
    <t>050327</t>
    <phoneticPr fontId="5" type="noConversion"/>
  </si>
  <si>
    <t>고등부</t>
    <phoneticPr fontId="5" type="noConversion"/>
  </si>
  <si>
    <t>(아이티고)</t>
    <phoneticPr fontId="5" type="noConversion"/>
  </si>
  <si>
    <t>010-2673-0672</t>
    <phoneticPr fontId="5" type="noConversion"/>
  </si>
  <si>
    <t>MJYE</t>
    <phoneticPr fontId="5" type="noConversion"/>
  </si>
  <si>
    <t>서울</t>
  </si>
  <si>
    <r>
      <rPr>
        <b/>
        <sz val="10"/>
        <color rgb="FF000000"/>
        <rFont val="맑은 고딕"/>
        <family val="3"/>
        <charset val="129"/>
        <scheme val="minor"/>
      </rPr>
      <t>참가클래스</t>
    </r>
    <phoneticPr fontId="5" type="noConversion"/>
  </si>
  <si>
    <r>
      <rPr>
        <b/>
        <sz val="10"/>
        <color rgb="FF000000"/>
        <rFont val="맑은 고딕"/>
        <family val="3"/>
        <charset val="129"/>
        <scheme val="minor"/>
      </rPr>
      <t>생년</t>
    </r>
    <phoneticPr fontId="5" type="noConversion"/>
  </si>
  <si>
    <r>
      <t xml:space="preserve"> </t>
    </r>
    <r>
      <rPr>
        <b/>
        <sz val="10"/>
        <color rgb="FF000000"/>
        <rFont val="맑은 고딕"/>
        <family val="3"/>
        <charset val="129"/>
        <scheme val="minor"/>
      </rPr>
      <t>소속</t>
    </r>
    <r>
      <rPr>
        <b/>
        <sz val="10"/>
        <color rgb="FF000000"/>
        <rFont val="맑은 고딕"/>
        <family val="2"/>
        <scheme val="minor"/>
      </rPr>
      <t xml:space="preserve"> </t>
    </r>
  </si>
  <si>
    <r>
      <rPr>
        <b/>
        <sz val="10"/>
        <color rgb="FF000000"/>
        <rFont val="맑은 고딕"/>
        <family val="3"/>
        <charset val="129"/>
        <scheme val="minor"/>
      </rPr>
      <t>선발클래스</t>
    </r>
    <phoneticPr fontId="5" type="noConversion"/>
  </si>
  <si>
    <t>WJYE</t>
    <phoneticPr fontId="5" type="noConversion"/>
  </si>
  <si>
    <r>
      <t>1</t>
    </r>
    <r>
      <rPr>
        <b/>
        <sz val="10"/>
        <color rgb="FF000000"/>
        <rFont val="맑은 고딕"/>
        <family val="3"/>
        <charset val="129"/>
        <scheme val="minor"/>
      </rPr>
      <t>위</t>
    </r>
    <r>
      <rPr>
        <b/>
        <sz val="10"/>
        <color rgb="FF000000"/>
        <rFont val="맑은 고딕"/>
        <family val="2"/>
        <scheme val="minor"/>
      </rPr>
      <t xml:space="preserve"> </t>
    </r>
    <r>
      <rPr>
        <b/>
        <sz val="10"/>
        <color rgb="FF000000"/>
        <rFont val="맑은 고딕"/>
        <family val="3"/>
        <charset val="129"/>
        <scheme val="minor"/>
      </rPr>
      <t>기록</t>
    </r>
    <r>
      <rPr>
        <b/>
        <sz val="10"/>
        <color rgb="FF000000"/>
        <rFont val="맑은 고딕"/>
        <family val="2"/>
        <scheme val="minor"/>
      </rPr>
      <t>(</t>
    </r>
    <r>
      <rPr>
        <b/>
        <sz val="10"/>
        <color rgb="FF000000"/>
        <rFont val="맑은 고딕"/>
        <family val="3"/>
        <charset val="129"/>
        <scheme val="minor"/>
      </rPr>
      <t>초</t>
    </r>
    <r>
      <rPr>
        <b/>
        <sz val="10"/>
        <color rgb="FF000000"/>
        <rFont val="맑은 고딕"/>
        <family val="2"/>
        <scheme val="minor"/>
      </rPr>
      <t xml:space="preserve">) </t>
    </r>
    <phoneticPr fontId="5" type="noConversion"/>
  </si>
  <si>
    <r>
      <rPr>
        <b/>
        <sz val="10"/>
        <color theme="1"/>
        <rFont val="맑은 고딕"/>
        <family val="3"/>
        <charset val="129"/>
        <scheme val="minor"/>
      </rPr>
      <t>구현모</t>
    </r>
    <phoneticPr fontId="5" type="noConversion"/>
  </si>
  <si>
    <r>
      <rPr>
        <b/>
        <sz val="10"/>
        <color theme="1"/>
        <rFont val="맑은 고딕"/>
        <family val="3"/>
        <charset val="129"/>
        <scheme val="minor"/>
      </rPr>
      <t>김현민</t>
    </r>
    <phoneticPr fontId="5" type="noConversion"/>
  </si>
  <si>
    <r>
      <rPr>
        <b/>
        <sz val="10"/>
        <color theme="1"/>
        <rFont val="맑은 고딕"/>
        <family val="3"/>
        <charset val="129"/>
        <scheme val="minor"/>
      </rPr>
      <t>구민경</t>
    </r>
    <phoneticPr fontId="5" type="noConversion"/>
  </si>
  <si>
    <r>
      <rPr>
        <b/>
        <sz val="10"/>
        <color theme="1"/>
        <rFont val="맑은 고딕"/>
        <family val="3"/>
        <charset val="129"/>
        <scheme val="minor"/>
      </rPr>
      <t>김지우</t>
    </r>
    <phoneticPr fontId="5" type="noConversion"/>
  </si>
  <si>
    <t>경기</t>
  </si>
  <si>
    <t>경기</t>
    <phoneticPr fontId="5" type="noConversion"/>
  </si>
  <si>
    <t>득점</t>
    <phoneticPr fontId="5" type="noConversion"/>
  </si>
  <si>
    <t>W20E</t>
    <phoneticPr fontId="5" type="noConversion"/>
  </si>
  <si>
    <t>W18E</t>
    <phoneticPr fontId="5" type="noConversion"/>
  </si>
  <si>
    <t>M16E</t>
    <phoneticPr fontId="5" type="noConversion"/>
  </si>
  <si>
    <t>M18E</t>
    <phoneticPr fontId="5" type="noConversion"/>
  </si>
  <si>
    <t>W16E</t>
    <phoneticPr fontId="5" type="noConversion"/>
  </si>
  <si>
    <t>성명
(가나다순)</t>
    <phoneticPr fontId="5" type="noConversion"/>
  </si>
  <si>
    <t>손석훈</t>
    <phoneticPr fontId="5" type="noConversion"/>
  </si>
  <si>
    <t>서울</t>
    <phoneticPr fontId="5" type="noConversion"/>
  </si>
  <si>
    <t>M20E</t>
    <phoneticPr fontId="5" type="noConversion"/>
  </si>
  <si>
    <t>참</t>
    <phoneticPr fontId="5" type="noConversion"/>
  </si>
  <si>
    <t>이정현</t>
    <phoneticPr fontId="5" type="noConversion"/>
  </si>
  <si>
    <t>전남</t>
    <phoneticPr fontId="5" type="noConversion"/>
  </si>
  <si>
    <t>정호진</t>
    <phoneticPr fontId="5" type="noConversion"/>
  </si>
  <si>
    <t>김예진</t>
    <phoneticPr fontId="5" type="noConversion"/>
  </si>
  <si>
    <t>순위</t>
    <phoneticPr fontId="5" type="noConversion"/>
  </si>
  <si>
    <t>M21E</t>
    <phoneticPr fontId="5" type="noConversion"/>
  </si>
  <si>
    <t>W21E</t>
    <phoneticPr fontId="5" type="noConversion"/>
  </si>
  <si>
    <t>김지훈</t>
    <phoneticPr fontId="5" type="noConversion"/>
  </si>
  <si>
    <t>변길섭</t>
    <phoneticPr fontId="5" type="noConversion"/>
  </si>
  <si>
    <t>이광우</t>
    <phoneticPr fontId="5" type="noConversion"/>
  </si>
  <si>
    <t>강선원</t>
    <phoneticPr fontId="5" type="noConversion"/>
  </si>
  <si>
    <t>문정만</t>
    <phoneticPr fontId="5" type="noConversion"/>
  </si>
  <si>
    <t>원성현</t>
    <phoneticPr fontId="5" type="noConversion"/>
  </si>
  <si>
    <t>제주</t>
    <phoneticPr fontId="5" type="noConversion"/>
  </si>
  <si>
    <t>강원</t>
    <phoneticPr fontId="5" type="noConversion"/>
  </si>
  <si>
    <t>부산</t>
    <phoneticPr fontId="5" type="noConversion"/>
  </si>
  <si>
    <t>장호일</t>
    <phoneticPr fontId="5" type="noConversion"/>
  </si>
  <si>
    <t>김성기</t>
    <phoneticPr fontId="5" type="noConversion"/>
  </si>
  <si>
    <t>김정모</t>
    <phoneticPr fontId="5" type="noConversion"/>
  </si>
  <si>
    <t>박동섭</t>
    <phoneticPr fontId="5" type="noConversion"/>
  </si>
  <si>
    <t>현보상</t>
    <phoneticPr fontId="5" type="noConversion"/>
  </si>
  <si>
    <t>조안나</t>
    <phoneticPr fontId="5" type="noConversion"/>
  </si>
  <si>
    <t>박지영</t>
    <phoneticPr fontId="5" type="noConversion"/>
  </si>
  <si>
    <t>김슬기</t>
    <phoneticPr fontId="5" type="noConversion"/>
  </si>
  <si>
    <t>주연희</t>
    <phoneticPr fontId="5" type="noConversion"/>
  </si>
  <si>
    <t>이진아</t>
    <phoneticPr fontId="5" type="noConversion"/>
  </si>
  <si>
    <t>박경미</t>
    <phoneticPr fontId="5" type="noConversion"/>
  </si>
  <si>
    <t>허성범</t>
    <phoneticPr fontId="5" type="noConversion"/>
  </si>
  <si>
    <t>백광영</t>
    <phoneticPr fontId="5" type="noConversion"/>
  </si>
  <si>
    <t>신재원</t>
    <phoneticPr fontId="5" type="noConversion"/>
  </si>
  <si>
    <t>이태겸</t>
    <phoneticPr fontId="5" type="noConversion"/>
  </si>
  <si>
    <t>d</t>
    <phoneticPr fontId="5" type="noConversion"/>
  </si>
  <si>
    <t>허명순</t>
    <phoneticPr fontId="5" type="noConversion"/>
  </si>
  <si>
    <t>경북</t>
    <phoneticPr fontId="5" type="noConversion"/>
  </si>
  <si>
    <t>오지현</t>
    <phoneticPr fontId="5" type="noConversion"/>
  </si>
  <si>
    <t>이계숙</t>
    <phoneticPr fontId="5" type="noConversion"/>
  </si>
  <si>
    <t>이혜영</t>
    <phoneticPr fontId="5" type="noConversion"/>
  </si>
  <si>
    <t>전희수</t>
    <phoneticPr fontId="5" type="noConversion"/>
  </si>
  <si>
    <t>Sprint</t>
    <phoneticPr fontId="5" type="noConversion"/>
  </si>
  <si>
    <t>Forest</t>
    <phoneticPr fontId="5" type="noConversion"/>
  </si>
  <si>
    <t>계</t>
    <phoneticPr fontId="5" type="noConversion"/>
  </si>
  <si>
    <t>20%가산</t>
    <phoneticPr fontId="5" type="noConversion"/>
  </si>
  <si>
    <t>2024 국가대표선수 선발점수 집계(성인)</t>
    <phoneticPr fontId="5" type="noConversion"/>
  </si>
  <si>
    <t>-</t>
    <phoneticPr fontId="5" type="noConversion"/>
  </si>
  <si>
    <t>7. 09</t>
    <phoneticPr fontId="5" type="noConversion"/>
  </si>
  <si>
    <t>6. 11</t>
    <phoneticPr fontId="5" type="noConversion"/>
  </si>
  <si>
    <t>8. 27</t>
    <phoneticPr fontId="5" type="noConversion"/>
  </si>
  <si>
    <t>5. 28</t>
    <phoneticPr fontId="5" type="noConversion"/>
  </si>
  <si>
    <t>3. 19</t>
    <phoneticPr fontId="5" type="noConversion"/>
  </si>
  <si>
    <t>5. 14</t>
    <phoneticPr fontId="5" type="noConversion"/>
  </si>
  <si>
    <t>10. 15</t>
    <phoneticPr fontId="5" type="noConversion"/>
  </si>
  <si>
    <t>김주호</t>
    <phoneticPr fontId="5" type="noConversion"/>
  </si>
  <si>
    <t>소병조</t>
    <phoneticPr fontId="5" type="noConversion"/>
  </si>
  <si>
    <t>안은규</t>
    <phoneticPr fontId="5" type="noConversion"/>
  </si>
  <si>
    <t>인천</t>
    <phoneticPr fontId="5" type="noConversion"/>
  </si>
  <si>
    <t>강예진</t>
    <phoneticPr fontId="5" type="noConversion"/>
  </si>
  <si>
    <t xml:space="preserve"> WOC 2024 
(Sprint, 영국)</t>
    <phoneticPr fontId="5" type="noConversion"/>
  </si>
  <si>
    <t>AsOC 2024
(종목미정, 태국)</t>
    <phoneticPr fontId="5" type="noConversion"/>
  </si>
  <si>
    <t>AsJYOC 2024
(상위 4개, 태국)</t>
    <phoneticPr fontId="5" type="noConversion"/>
  </si>
  <si>
    <t>&lt;선발전 점수 계산방법&gt;</t>
  </si>
  <si>
    <t>광주</t>
    <phoneticPr fontId="5" type="noConversion"/>
  </si>
  <si>
    <t>홍용식</t>
    <phoneticPr fontId="5" type="noConversion"/>
  </si>
  <si>
    <t>정종숙</t>
    <phoneticPr fontId="5" type="noConversion"/>
  </si>
  <si>
    <t>정준혁</t>
    <phoneticPr fontId="5" type="noConversion"/>
  </si>
  <si>
    <t>바양후</t>
    <phoneticPr fontId="5" type="noConversion"/>
  </si>
  <si>
    <t>이형우</t>
    <phoneticPr fontId="5" type="noConversion"/>
  </si>
  <si>
    <t>전남연맹
(Sprint)</t>
    <phoneticPr fontId="5" type="noConversion"/>
  </si>
  <si>
    <t>강원연맹
(Sprint)</t>
    <phoneticPr fontId="5" type="noConversion"/>
  </si>
  <si>
    <t>서울연맹
(Sprint)</t>
    <phoneticPr fontId="5" type="noConversion"/>
  </si>
  <si>
    <t>경기연맹
(Sprint)</t>
    <phoneticPr fontId="5" type="noConversion"/>
  </si>
  <si>
    <t>제주연맹
(Sprint)</t>
    <phoneticPr fontId="5" type="noConversion"/>
  </si>
  <si>
    <t>인천연맹
(Sprint)</t>
    <phoneticPr fontId="5" type="noConversion"/>
  </si>
  <si>
    <t>산림청
(Forest)</t>
    <phoneticPr fontId="5" type="noConversion"/>
  </si>
  <si>
    <t>11. 19</t>
    <phoneticPr fontId="5" type="noConversion"/>
  </si>
  <si>
    <t>대구연맹
(Forest)</t>
    <phoneticPr fontId="5" type="noConversion"/>
  </si>
  <si>
    <t>강철진</t>
    <phoneticPr fontId="5" type="noConversion"/>
  </si>
  <si>
    <t>서원하</t>
    <phoneticPr fontId="5" type="noConversion"/>
  </si>
  <si>
    <t>김주희</t>
    <phoneticPr fontId="5" type="noConversion"/>
  </si>
  <si>
    <t>장서영</t>
    <phoneticPr fontId="5" type="noConversion"/>
  </si>
  <si>
    <t>김성우</t>
    <phoneticPr fontId="5" type="noConversion"/>
  </si>
  <si>
    <t>경남</t>
    <phoneticPr fontId="5" type="noConversion"/>
  </si>
  <si>
    <t>박종현</t>
    <phoneticPr fontId="5" type="noConversion"/>
  </si>
  <si>
    <t>김지환</t>
    <phoneticPr fontId="5" type="noConversion"/>
  </si>
  <si>
    <t xml:space="preserve">AsJYOC 2024 </t>
    <phoneticPr fontId="5" type="noConversion"/>
  </si>
  <si>
    <t>1) 2023년 개최 공인대회 중 Sprint 2경기+Forest 2경기 점수의 합계</t>
    <phoneticPr fontId="5" type="noConversion"/>
  </si>
  <si>
    <t>2) 3회 미만 참가한 선수는 선발에서 제외</t>
    <phoneticPr fontId="5" type="noConversion"/>
  </si>
  <si>
    <t>위현지</t>
    <phoneticPr fontId="5" type="noConversion"/>
  </si>
  <si>
    <t>최연우</t>
    <phoneticPr fontId="5" type="noConversion"/>
  </si>
  <si>
    <r>
      <rPr>
        <b/>
        <sz val="10"/>
        <color rgb="FF000000"/>
        <rFont val="맑은 고딕"/>
        <family val="3"/>
        <charset val="129"/>
        <scheme val="minor"/>
      </rPr>
      <t>&lt;선발점 점수계산 방법&gt;</t>
    </r>
    <r>
      <rPr>
        <sz val="10"/>
        <color rgb="FF000000"/>
        <rFont val="맑은 고딕"/>
        <family val="3"/>
        <charset val="129"/>
        <scheme val="minor"/>
      </rPr>
      <t xml:space="preserve">
1. 클래스별 국내선수 1위 시간(초)/선발대상자 시간(초)*1,000
2. WOC 2024(Sprint) 선발점수: Sprint 3경기+Forest 2경기, Sprint는 20% 가산점 부여
3. AsOC 2024 선발점수: 릴레이 종목(Sprint 또는 Forest)에 따라 WOC와 같은 방법으로 계산
4. 대회별 릴레이 팀 엔트리 인원에 맞춰서 선발: 세계선수권대회 남녀 각 3명, 아시아선수권대회는 미정
5. 1위 기록(초)의 2배 이상 소요된 경우 실격으로 처리</t>
    </r>
    <phoneticPr fontId="5" type="noConversion"/>
  </si>
  <si>
    <t>11. 26</t>
    <phoneticPr fontId="5" type="noConversion"/>
  </si>
  <si>
    <t>정하얼</t>
    <phoneticPr fontId="5" type="noConversion"/>
  </si>
  <si>
    <t>김주니</t>
    <phoneticPr fontId="5" type="noConversion"/>
  </si>
  <si>
    <t>김창호</t>
    <phoneticPr fontId="5" type="noConversion"/>
  </si>
  <si>
    <t>전성훈</t>
    <phoneticPr fontId="5" type="noConversion"/>
  </si>
  <si>
    <t>2024 국가대표선수 선발점수 집계(청소년)</t>
    <phoneticPr fontId="5" type="noConversion"/>
  </si>
  <si>
    <t>하헌빈</t>
    <phoneticPr fontId="5" type="noConversion"/>
  </si>
  <si>
    <t>전북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</si>
</sst>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.0"/>
    <numFmt numFmtId="177" formatCode="0_);[Red]\(0\)"/>
    <numFmt numFmtId="178" formatCode="0.0_);[Red]\(0.0\)"/>
    <numFmt numFmtId="179" formatCode="_-* #,##0.0_-;\-* #,##0.0_-;_-* &quot;-&quot;_-;_-@_-"/>
  </numFmts>
  <fonts count="68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20"/>
      <color theme="1"/>
      <name val="굴림"/>
      <family val="3"/>
      <charset val="129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color rgb="FF00B050"/>
      <name val="맑은 고딕"/>
      <family val="2"/>
      <charset val="129"/>
      <scheme val="minor"/>
    </font>
    <font>
      <sz val="12"/>
      <name val="뼻뮝"/>
      <family val="1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Arial"/>
      <family val="2"/>
    </font>
    <font>
      <b/>
      <sz val="25"/>
      <color rgb="FF504941"/>
      <name val="굴림체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0"/>
      <color rgb="FF000000"/>
      <name val="바탕"/>
      <family val="1"/>
      <charset val="129"/>
    </font>
    <font>
      <sz val="12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scheme val="minor"/>
    </font>
    <font>
      <b/>
      <sz val="11"/>
      <color rgb="FF0000FF"/>
      <name val="맑은 고딕"/>
      <family val="2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0"/>
      <color rgb="FF000000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b/>
      <sz val="10"/>
      <color rgb="FFFF000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1"/>
      <color rgb="FF000000"/>
      <name val="맑은 고딕"/>
      <family val="2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2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</font>
    <font>
      <b/>
      <sz val="11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2"/>
      <charset val="129"/>
    </font>
    <font>
      <b/>
      <sz val="11"/>
      <color rgb="FF0000FF"/>
      <name val="맑은 고딕"/>
      <family val="2"/>
      <charset val="129"/>
    </font>
    <font>
      <b/>
      <sz val="10"/>
      <color theme="1"/>
      <name val="맑은 고딕"/>
      <family val="2"/>
      <charset val="129"/>
    </font>
    <font>
      <b/>
      <sz val="10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C000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/>
    <xf numFmtId="41" fontId="1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8" fillId="0" borderId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0" borderId="0"/>
  </cellStyleXfs>
  <cellXfs count="553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5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 indent="1"/>
    </xf>
    <xf numFmtId="0" fontId="17" fillId="2" borderId="35" xfId="0" applyFont="1" applyFill="1" applyBorder="1" applyAlignment="1">
      <alignment horizontal="left" vertical="center" wrapText="1" indent="1"/>
    </xf>
    <xf numFmtId="0" fontId="15" fillId="2" borderId="18" xfId="0" applyFont="1" applyFill="1" applyBorder="1" applyAlignment="1">
      <alignment horizontal="center" vertical="center" wrapText="1"/>
    </xf>
    <xf numFmtId="3" fontId="15" fillId="5" borderId="25" xfId="0" applyNumberFormat="1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left" vertical="center" wrapText="1" indent="1"/>
    </xf>
    <xf numFmtId="0" fontId="16" fillId="5" borderId="36" xfId="0" applyFont="1" applyFill="1" applyBorder="1" applyAlignment="1">
      <alignment horizontal="left" vertical="center" wrapText="1" indent="1"/>
    </xf>
    <xf numFmtId="0" fontId="16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3" fontId="15" fillId="2" borderId="25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3" fontId="6" fillId="4" borderId="25" xfId="0" applyNumberFormat="1" applyFont="1" applyFill="1" applyBorder="1" applyAlignment="1">
      <alignment horizontal="center" vertical="center" wrapText="1"/>
    </xf>
    <xf numFmtId="3" fontId="17" fillId="2" borderId="25" xfId="0" applyNumberFormat="1" applyFont="1" applyFill="1" applyBorder="1" applyAlignment="1">
      <alignment horizontal="left" vertical="center" wrapText="1" indent="1"/>
    </xf>
    <xf numFmtId="0" fontId="17" fillId="2" borderId="36" xfId="0" applyFont="1" applyFill="1" applyBorder="1" applyAlignment="1">
      <alignment horizontal="left" vertical="center" wrapText="1" indent="1"/>
    </xf>
    <xf numFmtId="0" fontId="16" fillId="2" borderId="2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 indent="1"/>
    </xf>
    <xf numFmtId="0" fontId="17" fillId="2" borderId="37" xfId="0" applyFont="1" applyFill="1" applyBorder="1" applyAlignment="1">
      <alignment horizontal="left" vertical="center" wrapText="1" indent="1"/>
    </xf>
    <xf numFmtId="0" fontId="17" fillId="2" borderId="5" xfId="0" applyFont="1" applyFill="1" applyBorder="1" applyAlignment="1">
      <alignment horizontal="left" vertical="center" wrapText="1" indent="1"/>
    </xf>
    <xf numFmtId="0" fontId="17" fillId="2" borderId="38" xfId="0" applyFont="1" applyFill="1" applyBorder="1" applyAlignment="1">
      <alignment horizontal="left" vertical="center" wrapText="1" indent="1"/>
    </xf>
    <xf numFmtId="0" fontId="16" fillId="2" borderId="6" xfId="0" applyFont="1" applyFill="1" applyBorder="1" applyAlignment="1">
      <alignment horizontal="left" vertical="center" wrapText="1" indent="1"/>
    </xf>
    <xf numFmtId="0" fontId="16" fillId="2" borderId="37" xfId="0" applyFont="1" applyFill="1" applyBorder="1" applyAlignment="1">
      <alignment horizontal="left" vertical="center" wrapText="1" indent="1"/>
    </xf>
    <xf numFmtId="0" fontId="16" fillId="2" borderId="5" xfId="0" applyFont="1" applyFill="1" applyBorder="1" applyAlignment="1">
      <alignment horizontal="left" vertical="center" wrapText="1" indent="1"/>
    </xf>
    <xf numFmtId="0" fontId="16" fillId="2" borderId="38" xfId="0" applyFont="1" applyFill="1" applyBorder="1" applyAlignment="1">
      <alignment horizontal="left" vertical="center" wrapText="1" indent="1"/>
    </xf>
    <xf numFmtId="0" fontId="16" fillId="2" borderId="39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3" fontId="15" fillId="2" borderId="39" xfId="0" applyNumberFormat="1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 wrapText="1" indent="1"/>
    </xf>
    <xf numFmtId="0" fontId="16" fillId="2" borderId="40" xfId="0" applyFont="1" applyFill="1" applyBorder="1" applyAlignment="1">
      <alignment horizontal="left" vertical="center" wrapText="1" indent="1"/>
    </xf>
    <xf numFmtId="0" fontId="15" fillId="2" borderId="18" xfId="0" applyFont="1" applyFill="1" applyBorder="1" applyAlignment="1">
      <alignment horizontal="left" vertical="center" wrapText="1" indent="1"/>
    </xf>
    <xf numFmtId="0" fontId="16" fillId="2" borderId="36" xfId="0" applyFont="1" applyFill="1" applyBorder="1" applyAlignment="1">
      <alignment horizontal="left" vertical="center" wrapText="1" indent="1"/>
    </xf>
    <xf numFmtId="0" fontId="15" fillId="2" borderId="20" xfId="0" applyFont="1" applyFill="1" applyBorder="1" applyAlignment="1">
      <alignment horizontal="left" vertical="center" wrapText="1" indent="1"/>
    </xf>
    <xf numFmtId="0" fontId="16" fillId="2" borderId="41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left" vertical="center" wrapText="1" indent="1"/>
    </xf>
    <xf numFmtId="3" fontId="15" fillId="5" borderId="6" xfId="0" applyNumberFormat="1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17" fillId="2" borderId="25" xfId="0" applyNumberFormat="1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left" vertical="center" wrapText="1" indent="1"/>
    </xf>
    <xf numFmtId="0" fontId="15" fillId="2" borderId="41" xfId="0" applyFont="1" applyFill="1" applyBorder="1" applyAlignment="1">
      <alignment horizontal="left" vertical="center" wrapText="1" indent="1"/>
    </xf>
    <xf numFmtId="0" fontId="6" fillId="2" borderId="41" xfId="0" applyFont="1" applyFill="1" applyBorder="1" applyAlignment="1">
      <alignment horizontal="left" vertical="center" wrapText="1" indent="1"/>
    </xf>
    <xf numFmtId="0" fontId="17" fillId="2" borderId="41" xfId="0" applyFont="1" applyFill="1" applyBorder="1" applyAlignment="1">
      <alignment horizontal="left" vertical="center" wrapText="1" indent="1"/>
    </xf>
    <xf numFmtId="0" fontId="17" fillId="2" borderId="42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5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3" fontId="15" fillId="5" borderId="39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5" fillId="5" borderId="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9" fontId="2" fillId="0" borderId="0" xfId="2" applyFont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19" fillId="6" borderId="60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7" fillId="4" borderId="65" xfId="0" applyNumberFormat="1" applyFont="1" applyFill="1" applyBorder="1" applyAlignment="1">
      <alignment horizontal="center" vertical="center"/>
    </xf>
    <xf numFmtId="41" fontId="27" fillId="4" borderId="59" xfId="1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49" fontId="10" fillId="0" borderId="66" xfId="0" applyNumberFormat="1" applyFont="1" applyBorder="1" applyAlignment="1">
      <alignment horizontal="center" vertical="center"/>
    </xf>
    <xf numFmtId="41" fontId="10" fillId="0" borderId="60" xfId="1" applyFont="1" applyBorder="1" applyAlignment="1">
      <alignment horizontal="left" vertical="center"/>
    </xf>
    <xf numFmtId="0" fontId="10" fillId="0" borderId="67" xfId="0" applyFont="1" applyBorder="1" applyAlignment="1">
      <alignment horizontal="center" vertical="center"/>
    </xf>
    <xf numFmtId="0" fontId="19" fillId="6" borderId="68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49" fontId="10" fillId="0" borderId="69" xfId="0" applyNumberFormat="1" applyFont="1" applyBorder="1" applyAlignment="1">
      <alignment horizontal="center" vertical="center"/>
    </xf>
    <xf numFmtId="41" fontId="10" fillId="0" borderId="68" xfId="1" applyFont="1" applyBorder="1" applyAlignment="1">
      <alignment horizontal="left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9" fillId="6" borderId="73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1" fontId="10" fillId="0" borderId="73" xfId="1" applyFont="1" applyBorder="1" applyAlignment="1">
      <alignment horizontal="left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41" fontId="0" fillId="0" borderId="73" xfId="1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49" fontId="10" fillId="0" borderId="79" xfId="0" applyNumberFormat="1" applyFont="1" applyBorder="1" applyAlignment="1">
      <alignment horizontal="center" vertical="center"/>
    </xf>
    <xf numFmtId="41" fontId="10" fillId="0" borderId="56" xfId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1" fontId="10" fillId="0" borderId="0" xfId="1" applyFont="1" applyAlignment="1">
      <alignment horizontal="left" vertical="center"/>
    </xf>
    <xf numFmtId="49" fontId="10" fillId="0" borderId="80" xfId="0" applyNumberFormat="1" applyFont="1" applyBorder="1" applyAlignment="1">
      <alignment horizontal="center" vertical="center"/>
    </xf>
    <xf numFmtId="49" fontId="19" fillId="6" borderId="73" xfId="0" applyNumberFormat="1" applyFont="1" applyFill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left" vertical="center"/>
    </xf>
    <xf numFmtId="41" fontId="33" fillId="0" borderId="0" xfId="1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41" fontId="0" fillId="0" borderId="68" xfId="1" applyFont="1" applyBorder="1" applyAlignment="1">
      <alignment horizontal="left" vertical="center"/>
    </xf>
    <xf numFmtId="0" fontId="30" fillId="0" borderId="56" xfId="0" applyFont="1" applyBorder="1" applyAlignment="1">
      <alignment horizontal="center" vertical="center"/>
    </xf>
    <xf numFmtId="49" fontId="30" fillId="0" borderId="79" xfId="0" applyNumberFormat="1" applyFont="1" applyBorder="1" applyAlignment="1">
      <alignment horizontal="center" vertical="center"/>
    </xf>
    <xf numFmtId="41" fontId="30" fillId="0" borderId="56" xfId="1" applyFont="1" applyBorder="1" applyAlignment="1">
      <alignment horizontal="left" vertical="center"/>
    </xf>
    <xf numFmtId="0" fontId="20" fillId="0" borderId="63" xfId="0" applyFont="1" applyBorder="1">
      <alignment vertical="center"/>
    </xf>
    <xf numFmtId="0" fontId="30" fillId="0" borderId="1" xfId="0" applyFont="1" applyBorder="1" applyAlignment="1">
      <alignment horizontal="center" vertical="center"/>
    </xf>
    <xf numFmtId="0" fontId="19" fillId="6" borderId="81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49" fontId="10" fillId="0" borderId="83" xfId="0" applyNumberFormat="1" applyFont="1" applyBorder="1" applyAlignment="1">
      <alignment horizontal="center" vertical="center"/>
    </xf>
    <xf numFmtId="41" fontId="10" fillId="0" borderId="81" xfId="1" applyFont="1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49" fontId="10" fillId="0" borderId="88" xfId="0" applyNumberFormat="1" applyFont="1" applyBorder="1" applyAlignment="1">
      <alignment horizontal="center" vertical="center"/>
    </xf>
    <xf numFmtId="0" fontId="19" fillId="6" borderId="80" xfId="0" applyFont="1" applyFill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1" fontId="10" fillId="0" borderId="80" xfId="1" applyFont="1" applyBorder="1" applyAlignment="1">
      <alignment horizontal="left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1" fontId="10" fillId="8" borderId="31" xfId="1" applyFont="1" applyFill="1" applyBorder="1" applyAlignment="1">
      <alignment horizontal="left" vertical="center"/>
    </xf>
    <xf numFmtId="0" fontId="10" fillId="8" borderId="78" xfId="0" applyFont="1" applyFill="1" applyBorder="1" applyAlignment="1">
      <alignment horizontal="center" vertical="center"/>
    </xf>
    <xf numFmtId="0" fontId="10" fillId="8" borderId="93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20" fillId="0" borderId="34" xfId="0" applyFont="1" applyBorder="1">
      <alignment vertical="center"/>
    </xf>
    <xf numFmtId="41" fontId="0" fillId="0" borderId="60" xfId="1" applyFont="1" applyBorder="1" applyAlignment="1">
      <alignment horizontal="left" vertical="center"/>
    </xf>
    <xf numFmtId="49" fontId="10" fillId="3" borderId="68" xfId="0" applyNumberFormat="1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49" fontId="10" fillId="0" borderId="101" xfId="0" applyNumberFormat="1" applyFont="1" applyBorder="1" applyAlignment="1">
      <alignment horizontal="center" vertical="center"/>
    </xf>
    <xf numFmtId="49" fontId="10" fillId="0" borderId="96" xfId="0" applyNumberFormat="1" applyFont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vertical="center" wrapText="1"/>
    </xf>
    <xf numFmtId="0" fontId="19" fillId="6" borderId="18" xfId="0" applyFont="1" applyFill="1" applyBorder="1" applyAlignment="1">
      <alignment vertical="center" wrapText="1"/>
    </xf>
    <xf numFmtId="0" fontId="19" fillId="6" borderId="20" xfId="0" applyFont="1" applyFill="1" applyBorder="1" applyAlignment="1">
      <alignment vertical="center" wrapText="1"/>
    </xf>
    <xf numFmtId="49" fontId="10" fillId="0" borderId="100" xfId="0" applyNumberFormat="1" applyFont="1" applyBorder="1" applyAlignment="1">
      <alignment horizontal="center" vertical="center"/>
    </xf>
    <xf numFmtId="49" fontId="19" fillId="6" borderId="56" xfId="0" applyNumberFormat="1" applyFont="1" applyFill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19" fillId="6" borderId="82" xfId="0" applyFont="1" applyFill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1" fontId="10" fillId="0" borderId="82" xfId="1" applyFont="1" applyBorder="1" applyAlignment="1">
      <alignment horizontal="left" vertical="center"/>
    </xf>
    <xf numFmtId="0" fontId="10" fillId="0" borderId="10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49" fontId="10" fillId="3" borderId="68" xfId="1" applyNumberFormat="1" applyFont="1" applyFill="1" applyBorder="1" applyAlignment="1">
      <alignment horizontal="left" vertical="center"/>
    </xf>
    <xf numFmtId="49" fontId="10" fillId="3" borderId="70" xfId="0" applyNumberFormat="1" applyFont="1" applyFill="1" applyBorder="1" applyAlignment="1">
      <alignment horizontal="center" vertical="center"/>
    </xf>
    <xf numFmtId="49" fontId="10" fillId="3" borderId="94" xfId="0" applyNumberFormat="1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81" xfId="0" applyFont="1" applyFill="1" applyBorder="1" applyAlignment="1">
      <alignment horizontal="center" vertical="center"/>
    </xf>
    <xf numFmtId="49" fontId="10" fillId="3" borderId="83" xfId="0" applyNumberFormat="1" applyFont="1" applyFill="1" applyBorder="1" applyAlignment="1">
      <alignment horizontal="center" vertical="center"/>
    </xf>
    <xf numFmtId="41" fontId="10" fillId="3" borderId="81" xfId="1" applyFont="1" applyFill="1" applyBorder="1" applyAlignment="1">
      <alignment horizontal="left" vertical="center"/>
    </xf>
    <xf numFmtId="0" fontId="10" fillId="3" borderId="84" xfId="0" applyFont="1" applyFill="1" applyBorder="1" applyAlignment="1">
      <alignment horizontal="center" vertical="center"/>
    </xf>
    <xf numFmtId="0" fontId="10" fillId="3" borderId="85" xfId="0" applyFont="1" applyFill="1" applyBorder="1" applyAlignment="1">
      <alignment horizontal="center" vertical="center"/>
    </xf>
    <xf numFmtId="0" fontId="10" fillId="3" borderId="86" xfId="0" applyFont="1" applyFill="1" applyBorder="1" applyAlignment="1">
      <alignment horizontal="center" vertical="center"/>
    </xf>
    <xf numFmtId="0" fontId="10" fillId="3" borderId="99" xfId="0" applyFont="1" applyFill="1" applyBorder="1" applyAlignment="1">
      <alignment horizontal="center" vertical="center"/>
    </xf>
    <xf numFmtId="49" fontId="10" fillId="3" borderId="97" xfId="0" applyNumberFormat="1" applyFont="1" applyFill="1" applyBorder="1" applyAlignment="1">
      <alignment horizontal="center" vertical="center"/>
    </xf>
    <xf numFmtId="0" fontId="19" fillId="3" borderId="73" xfId="0" applyFont="1" applyFill="1" applyBorder="1" applyAlignment="1">
      <alignment horizontal="center" vertical="center"/>
    </xf>
    <xf numFmtId="49" fontId="10" fillId="3" borderId="74" xfId="0" applyNumberFormat="1" applyFont="1" applyFill="1" applyBorder="1" applyAlignment="1">
      <alignment horizontal="center" vertical="center"/>
    </xf>
    <xf numFmtId="41" fontId="10" fillId="3" borderId="73" xfId="1" applyFont="1" applyFill="1" applyBorder="1" applyAlignment="1">
      <alignment horizontal="left" vertical="center"/>
    </xf>
    <xf numFmtId="0" fontId="10" fillId="3" borderId="75" xfId="0" applyFont="1" applyFill="1" applyBorder="1" applyAlignment="1">
      <alignment horizontal="center" vertical="center"/>
    </xf>
    <xf numFmtId="0" fontId="10" fillId="3" borderId="76" xfId="0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Protection="1">
      <alignment vertical="center"/>
      <protection locked="0"/>
    </xf>
    <xf numFmtId="0" fontId="33" fillId="0" borderId="0" xfId="0" applyFont="1" applyProtection="1">
      <alignment vertical="center"/>
      <protection locked="0"/>
    </xf>
    <xf numFmtId="41" fontId="33" fillId="0" borderId="0" xfId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177" fontId="33" fillId="0" borderId="0" xfId="0" applyNumberFormat="1" applyFont="1" applyProtection="1">
      <alignment vertical="center"/>
      <protection locked="0"/>
    </xf>
    <xf numFmtId="177" fontId="33" fillId="0" borderId="0" xfId="0" applyNumberFormat="1" applyFont="1">
      <alignment vertical="center"/>
    </xf>
    <xf numFmtId="177" fontId="33" fillId="0" borderId="0" xfId="1" applyNumberFormat="1" applyFont="1" applyAlignment="1" applyProtection="1">
      <alignment horizontal="center" vertical="center"/>
      <protection locked="0"/>
    </xf>
    <xf numFmtId="177" fontId="33" fillId="0" borderId="0" xfId="1" applyNumberFormat="1" applyFont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32" fillId="2" borderId="0" xfId="0" applyFont="1" applyFill="1" applyAlignment="1" applyProtection="1">
      <alignment horizontal="center" vertical="center" wrapText="1"/>
      <protection locked="0"/>
    </xf>
    <xf numFmtId="177" fontId="33" fillId="0" borderId="0" xfId="0" applyNumberFormat="1" applyFont="1" applyAlignment="1" applyProtection="1">
      <alignment horizontal="center" vertical="center" wrapText="1"/>
      <protection locked="0"/>
    </xf>
    <xf numFmtId="0" fontId="34" fillId="2" borderId="0" xfId="0" applyFont="1" applyFill="1" applyAlignment="1" applyProtection="1">
      <alignment horizontal="center" vertical="center" wrapText="1"/>
      <protection locked="0"/>
    </xf>
    <xf numFmtId="177" fontId="36" fillId="0" borderId="0" xfId="1" applyNumberFormat="1" applyFont="1" applyAlignment="1">
      <alignment horizontal="center" vertical="center"/>
    </xf>
    <xf numFmtId="0" fontId="51" fillId="7" borderId="25" xfId="0" applyFont="1" applyFill="1" applyBorder="1" applyAlignment="1" applyProtection="1">
      <alignment horizontal="center" vertical="center" wrapText="1"/>
      <protection locked="0"/>
    </xf>
    <xf numFmtId="0" fontId="48" fillId="0" borderId="4" xfId="0" applyFont="1" applyBorder="1" applyAlignment="1" applyProtection="1">
      <alignment horizontal="center" vertical="center" wrapText="1"/>
      <protection locked="0"/>
    </xf>
    <xf numFmtId="0" fontId="54" fillId="0" borderId="4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1" fillId="7" borderId="11" xfId="0" applyFont="1" applyFill="1" applyBorder="1" applyAlignment="1" applyProtection="1">
      <alignment horizontal="center" vertical="center" wrapText="1"/>
      <protection locked="0"/>
    </xf>
    <xf numFmtId="0" fontId="43" fillId="10" borderId="2" xfId="0" applyFont="1" applyFill="1" applyBorder="1" applyAlignment="1" applyProtection="1">
      <alignment horizontal="center" vertical="center" wrapText="1"/>
      <protection locked="0"/>
    </xf>
    <xf numFmtId="0" fontId="43" fillId="10" borderId="12" xfId="0" applyFont="1" applyFill="1" applyBorder="1" applyAlignment="1" applyProtection="1">
      <alignment horizontal="center" vertical="center" wrapText="1"/>
      <protection locked="0"/>
    </xf>
    <xf numFmtId="177" fontId="44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58" fillId="10" borderId="5" xfId="0" applyFont="1" applyFill="1" applyBorder="1" applyAlignment="1" applyProtection="1">
      <alignment horizontal="center" vertical="center" wrapText="1"/>
      <protection locked="0"/>
    </xf>
    <xf numFmtId="0" fontId="54" fillId="10" borderId="4" xfId="0" applyFont="1" applyFill="1" applyBorder="1" applyAlignment="1" applyProtection="1">
      <alignment horizontal="center" vertical="center" wrapText="1"/>
      <protection locked="0"/>
    </xf>
    <xf numFmtId="0" fontId="15" fillId="10" borderId="4" xfId="0" applyFont="1" applyFill="1" applyBorder="1" applyAlignment="1">
      <alignment horizontal="center" vertical="center"/>
    </xf>
    <xf numFmtId="0" fontId="44" fillId="10" borderId="5" xfId="0" applyFont="1" applyFill="1" applyBorder="1" applyAlignment="1" applyProtection="1">
      <alignment horizontal="center" vertical="center" wrapText="1"/>
      <protection locked="0"/>
    </xf>
    <xf numFmtId="0" fontId="37" fillId="10" borderId="4" xfId="0" applyFont="1" applyFill="1" applyBorder="1" applyAlignment="1">
      <alignment horizontal="center" vertical="center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10" borderId="0" xfId="0" applyFont="1" applyFill="1" applyAlignment="1" applyProtection="1">
      <alignment horizontal="center" vertical="center" wrapText="1"/>
      <protection locked="0"/>
    </xf>
    <xf numFmtId="0" fontId="60" fillId="10" borderId="0" xfId="0" applyFont="1" applyFill="1" applyAlignment="1" applyProtection="1">
      <alignment horizontal="center" vertical="center" wrapText="1"/>
      <protection locked="0"/>
    </xf>
    <xf numFmtId="0" fontId="54" fillId="10" borderId="0" xfId="0" applyFont="1" applyFill="1" applyAlignment="1" applyProtection="1">
      <alignment horizontal="center" vertical="center" wrapText="1"/>
      <protection locked="0"/>
    </xf>
    <xf numFmtId="177" fontId="39" fillId="10" borderId="0" xfId="0" applyNumberFormat="1" applyFont="1" applyFill="1" applyAlignment="1" applyProtection="1">
      <alignment horizontal="center" vertical="center" wrapText="1"/>
      <protection locked="0"/>
    </xf>
    <xf numFmtId="177" fontId="57" fillId="10" borderId="0" xfId="0" applyNumberFormat="1" applyFont="1" applyFill="1" applyAlignment="1" applyProtection="1">
      <alignment horizontal="center" vertical="center" wrapText="1"/>
      <protection locked="0"/>
    </xf>
    <xf numFmtId="41" fontId="47" fillId="7" borderId="13" xfId="1" applyFont="1" applyFill="1" applyBorder="1" applyAlignment="1" applyProtection="1">
      <alignment horizontal="center" vertical="center" wrapText="1"/>
      <protection locked="0"/>
    </xf>
    <xf numFmtId="41" fontId="39" fillId="10" borderId="4" xfId="1" applyFont="1" applyFill="1" applyBorder="1" applyAlignment="1" applyProtection="1">
      <alignment horizontal="center" vertical="center" wrapText="1"/>
      <protection locked="0"/>
    </xf>
    <xf numFmtId="41" fontId="49" fillId="10" borderId="4" xfId="1" applyFont="1" applyFill="1" applyBorder="1" applyAlignment="1" applyProtection="1">
      <alignment horizontal="center" vertical="center" wrapText="1"/>
      <protection locked="0"/>
    </xf>
    <xf numFmtId="41" fontId="47" fillId="7" borderId="4" xfId="1" applyFont="1" applyFill="1" applyBorder="1" applyAlignment="1" applyProtection="1">
      <alignment horizontal="center" vertical="center" wrapText="1"/>
      <protection locked="0"/>
    </xf>
    <xf numFmtId="41" fontId="50" fillId="7" borderId="4" xfId="1" applyFont="1" applyFill="1" applyBorder="1" applyAlignment="1" applyProtection="1">
      <alignment horizontal="center" vertical="center" wrapText="1"/>
      <protection locked="0"/>
    </xf>
    <xf numFmtId="41" fontId="39" fillId="10" borderId="106" xfId="1" applyFont="1" applyFill="1" applyBorder="1" applyAlignment="1" applyProtection="1">
      <alignment horizontal="center" vertical="center" wrapText="1"/>
      <protection locked="0"/>
    </xf>
    <xf numFmtId="41" fontId="49" fillId="10" borderId="106" xfId="1" applyFont="1" applyFill="1" applyBorder="1" applyAlignment="1" applyProtection="1">
      <alignment horizontal="center" vertical="center" wrapText="1"/>
      <protection locked="0"/>
    </xf>
    <xf numFmtId="41" fontId="39" fillId="10" borderId="14" xfId="1" applyFont="1" applyFill="1" applyBorder="1" applyAlignment="1" applyProtection="1">
      <alignment horizontal="center" vertical="center" wrapText="1"/>
      <protection locked="0"/>
    </xf>
    <xf numFmtId="178" fontId="46" fillId="10" borderId="0" xfId="0" applyNumberFormat="1" applyFont="1" applyFill="1" applyAlignment="1" applyProtection="1">
      <alignment horizontal="center" vertical="center" wrapText="1"/>
      <protection locked="0"/>
    </xf>
    <xf numFmtId="177" fontId="36" fillId="2" borderId="0" xfId="0" applyNumberFormat="1" applyFont="1" applyFill="1" applyAlignment="1" applyProtection="1">
      <alignment horizontal="center" vertical="center" wrapText="1"/>
      <protection locked="0"/>
    </xf>
    <xf numFmtId="0" fontId="59" fillId="10" borderId="82" xfId="0" applyFont="1" applyFill="1" applyBorder="1" applyAlignment="1" applyProtection="1">
      <alignment horizontal="center" vertical="center" wrapText="1"/>
      <protection locked="0"/>
    </xf>
    <xf numFmtId="0" fontId="43" fillId="10" borderId="0" xfId="0" applyFont="1" applyFill="1" applyAlignment="1" applyProtection="1">
      <alignment horizontal="center" vertical="center" wrapText="1"/>
      <protection locked="0"/>
    </xf>
    <xf numFmtId="0" fontId="45" fillId="10" borderId="0" xfId="0" applyFont="1" applyFill="1" applyAlignment="1" applyProtection="1">
      <alignment horizontal="center" vertical="center" wrapText="1"/>
      <protection locked="0"/>
    </xf>
    <xf numFmtId="41" fontId="52" fillId="10" borderId="0" xfId="1" applyFont="1" applyFill="1" applyBorder="1" applyAlignment="1" applyProtection="1">
      <alignment horizontal="center" vertical="center" wrapText="1"/>
      <protection locked="0"/>
    </xf>
    <xf numFmtId="41" fontId="53" fillId="10" borderId="0" xfId="1" applyFont="1" applyFill="1" applyBorder="1" applyAlignment="1" applyProtection="1">
      <alignment horizontal="center" vertical="center" wrapText="1"/>
      <protection locked="0"/>
    </xf>
    <xf numFmtId="41" fontId="57" fillId="10" borderId="0" xfId="1" applyFont="1" applyFill="1" applyBorder="1" applyAlignment="1" applyProtection="1">
      <alignment horizontal="center" vertical="center" wrapText="1"/>
      <protection locked="0"/>
    </xf>
    <xf numFmtId="41" fontId="47" fillId="10" borderId="0" xfId="1" applyFont="1" applyFill="1" applyBorder="1" applyAlignment="1" applyProtection="1">
      <alignment horizontal="center" vertical="center" wrapText="1"/>
      <protection locked="0"/>
    </xf>
    <xf numFmtId="41" fontId="40" fillId="10" borderId="0" xfId="1" applyFont="1" applyFill="1" applyBorder="1" applyAlignment="1" applyProtection="1">
      <alignment horizontal="center" vertical="center" wrapText="1"/>
      <protection locked="0"/>
    </xf>
    <xf numFmtId="41" fontId="61" fillId="7" borderId="26" xfId="1" applyFont="1" applyFill="1" applyBorder="1" applyAlignment="1" applyProtection="1">
      <alignment horizontal="center" vertical="center" wrapText="1"/>
      <protection locked="0"/>
    </xf>
    <xf numFmtId="41" fontId="61" fillId="10" borderId="41" xfId="1" applyFont="1" applyFill="1" applyBorder="1" applyAlignment="1" applyProtection="1">
      <alignment horizontal="center" vertical="center" wrapText="1"/>
      <protection locked="0"/>
    </xf>
    <xf numFmtId="41" fontId="42" fillId="10" borderId="103" xfId="1" applyFont="1" applyFill="1" applyBorder="1" applyAlignment="1" applyProtection="1">
      <alignment horizontal="center" vertical="center" wrapText="1"/>
      <protection locked="0"/>
    </xf>
    <xf numFmtId="0" fontId="43" fillId="10" borderId="109" xfId="0" applyFont="1" applyFill="1" applyBorder="1" applyAlignment="1" applyProtection="1">
      <alignment horizontal="center" vertical="center" wrapText="1"/>
      <protection locked="0"/>
    </xf>
    <xf numFmtId="0" fontId="3" fillId="10" borderId="15" xfId="0" applyFont="1" applyFill="1" applyBorder="1" applyAlignment="1" applyProtection="1">
      <alignment horizontal="center" vertical="center" wrapText="1"/>
      <protection locked="0"/>
    </xf>
    <xf numFmtId="41" fontId="53" fillId="10" borderId="9" xfId="1" applyFont="1" applyFill="1" applyBorder="1" applyAlignment="1" applyProtection="1">
      <alignment horizontal="center" vertical="center" wrapText="1"/>
      <protection locked="0"/>
    </xf>
    <xf numFmtId="41" fontId="53" fillId="10" borderId="15" xfId="1" applyFont="1" applyFill="1" applyBorder="1" applyAlignment="1" applyProtection="1">
      <alignment horizontal="center" vertical="center" wrapText="1"/>
      <protection locked="0"/>
    </xf>
    <xf numFmtId="41" fontId="52" fillId="10" borderId="15" xfId="1" applyFont="1" applyFill="1" applyBorder="1" applyAlignment="1" applyProtection="1">
      <alignment horizontal="center" vertical="center" wrapText="1"/>
      <protection locked="0"/>
    </xf>
    <xf numFmtId="41" fontId="53" fillId="10" borderId="16" xfId="1" applyFont="1" applyFill="1" applyBorder="1" applyAlignment="1" applyProtection="1">
      <alignment horizontal="center" vertical="center" wrapText="1"/>
      <protection locked="0"/>
    </xf>
    <xf numFmtId="177" fontId="3" fillId="9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0" fontId="37" fillId="10" borderId="4" xfId="0" applyFont="1" applyFill="1" applyBorder="1" applyAlignment="1" applyProtection="1">
      <alignment horizontal="center" vertical="center" wrapText="1"/>
      <protection locked="0"/>
    </xf>
    <xf numFmtId="0" fontId="15" fillId="10" borderId="4" xfId="0" applyFont="1" applyFill="1" applyBorder="1" applyAlignment="1" applyProtection="1">
      <alignment horizontal="center" vertical="center" wrapText="1"/>
      <protection locked="0"/>
    </xf>
    <xf numFmtId="0" fontId="56" fillId="10" borderId="4" xfId="0" applyFont="1" applyFill="1" applyBorder="1" applyAlignment="1" applyProtection="1">
      <alignment horizontal="center" vertical="center" wrapText="1"/>
      <protection locked="0"/>
    </xf>
    <xf numFmtId="0" fontId="56" fillId="10" borderId="104" xfId="0" applyFont="1" applyFill="1" applyBorder="1" applyAlignment="1" applyProtection="1">
      <alignment horizontal="center" vertical="center" wrapText="1"/>
      <protection locked="0"/>
    </xf>
    <xf numFmtId="0" fontId="32" fillId="10" borderId="4" xfId="0" applyFont="1" applyFill="1" applyBorder="1" applyAlignment="1" applyProtection="1">
      <alignment horizontal="center" vertical="center" wrapText="1"/>
      <protection locked="0"/>
    </xf>
    <xf numFmtId="0" fontId="58" fillId="10" borderId="39" xfId="0" applyFont="1" applyFill="1" applyBorder="1" applyAlignment="1" applyProtection="1">
      <alignment horizontal="center" vertical="center" wrapText="1"/>
      <protection locked="0"/>
    </xf>
    <xf numFmtId="0" fontId="37" fillId="10" borderId="106" xfId="0" applyFont="1" applyFill="1" applyBorder="1" applyAlignment="1">
      <alignment horizontal="center" vertical="center"/>
    </xf>
    <xf numFmtId="41" fontId="53" fillId="10" borderId="105" xfId="1" applyFont="1" applyFill="1" applyBorder="1" applyAlignment="1" applyProtection="1">
      <alignment horizontal="center" vertical="center" wrapText="1"/>
      <protection locked="0"/>
    </xf>
    <xf numFmtId="41" fontId="53" fillId="10" borderId="107" xfId="1" applyFont="1" applyFill="1" applyBorder="1" applyAlignment="1" applyProtection="1">
      <alignment horizontal="center" vertical="center" wrapText="1"/>
      <protection locked="0"/>
    </xf>
    <xf numFmtId="0" fontId="60" fillId="10" borderId="4" xfId="0" applyFont="1" applyFill="1" applyBorder="1" applyAlignment="1" applyProtection="1">
      <alignment horizontal="center" vertical="center" wrapText="1"/>
      <protection locked="0"/>
    </xf>
    <xf numFmtId="0" fontId="55" fillId="10" borderId="4" xfId="0" applyFont="1" applyFill="1" applyBorder="1" applyAlignment="1" applyProtection="1">
      <alignment horizontal="center" vertical="center" wrapText="1"/>
      <protection locked="0"/>
    </xf>
    <xf numFmtId="0" fontId="60" fillId="10" borderId="5" xfId="0" applyFont="1" applyFill="1" applyBorder="1" applyAlignment="1" applyProtection="1">
      <alignment horizontal="center" vertical="center" wrapText="1"/>
      <protection locked="0"/>
    </xf>
    <xf numFmtId="41" fontId="39" fillId="10" borderId="4" xfId="1" applyFont="1" applyFill="1" applyBorder="1" applyAlignment="1" applyProtection="1">
      <alignment horizontal="right" vertical="center" wrapText="1"/>
      <protection locked="0"/>
    </xf>
    <xf numFmtId="41" fontId="18" fillId="10" borderId="104" xfId="1" applyFont="1" applyFill="1" applyBorder="1" applyAlignment="1" applyProtection="1">
      <alignment horizontal="center" vertical="center" wrapText="1"/>
      <protection locked="0"/>
    </xf>
    <xf numFmtId="41" fontId="38" fillId="10" borderId="104" xfId="1" applyFont="1" applyFill="1" applyBorder="1" applyAlignment="1" applyProtection="1">
      <alignment horizontal="center" vertical="center" wrapText="1"/>
      <protection locked="0"/>
    </xf>
    <xf numFmtId="41" fontId="62" fillId="7" borderId="21" xfId="1" applyFont="1" applyFill="1" applyBorder="1" applyAlignment="1" applyProtection="1">
      <alignment horizontal="center" vertical="center" wrapText="1"/>
      <protection locked="0"/>
    </xf>
    <xf numFmtId="41" fontId="62" fillId="7" borderId="19" xfId="1" applyFont="1" applyFill="1" applyBorder="1" applyAlignment="1" applyProtection="1">
      <alignment horizontal="center" vertical="center" wrapText="1"/>
      <protection locked="0"/>
    </xf>
    <xf numFmtId="0" fontId="3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41" fontId="39" fillId="10" borderId="106" xfId="1" applyFont="1" applyFill="1" applyBorder="1" applyAlignment="1" applyProtection="1">
      <alignment horizontal="right" vertical="center" wrapText="1"/>
      <protection locked="0"/>
    </xf>
    <xf numFmtId="41" fontId="18" fillId="10" borderId="108" xfId="1" applyFont="1" applyFill="1" applyBorder="1" applyAlignment="1" applyProtection="1">
      <alignment horizontal="center" vertical="center" wrapText="1"/>
      <protection locked="0"/>
    </xf>
    <xf numFmtId="41" fontId="61" fillId="7" borderId="3" xfId="1" applyFont="1" applyFill="1" applyBorder="1" applyAlignment="1" applyProtection="1">
      <alignment horizontal="center" vertical="center" wrapText="1"/>
      <protection locked="0"/>
    </xf>
    <xf numFmtId="41" fontId="61" fillId="10" borderId="111" xfId="1" applyFont="1" applyFill="1" applyBorder="1" applyAlignment="1" applyProtection="1">
      <alignment horizontal="center" vertical="center" wrapText="1"/>
      <protection locked="0"/>
    </xf>
    <xf numFmtId="177" fontId="3" fillId="9" borderId="14" xfId="0" applyNumberFormat="1" applyFont="1" applyFill="1" applyBorder="1" applyAlignment="1" applyProtection="1">
      <alignment horizontal="left" vertical="center" wrapText="1" indent="1"/>
      <protection locked="0"/>
    </xf>
    <xf numFmtId="41" fontId="61" fillId="7" borderId="13" xfId="1" applyFont="1" applyFill="1" applyBorder="1" applyAlignment="1" applyProtection="1">
      <alignment horizontal="center" vertical="center" wrapText="1"/>
      <protection locked="0"/>
    </xf>
    <xf numFmtId="177" fontId="3" fillId="9" borderId="111" xfId="0" applyNumberFormat="1" applyFont="1" applyFill="1" applyBorder="1" applyAlignment="1" applyProtection="1">
      <alignment horizontal="center" vertical="center" wrapText="1"/>
      <protection locked="0"/>
    </xf>
    <xf numFmtId="41" fontId="3" fillId="9" borderId="103" xfId="1" applyFont="1" applyFill="1" applyBorder="1" applyAlignment="1" applyProtection="1">
      <alignment horizontal="center" vertical="center" wrapText="1"/>
      <protection locked="0"/>
    </xf>
    <xf numFmtId="41" fontId="57" fillId="10" borderId="0" xfId="1" applyFont="1" applyFill="1" applyAlignment="1" applyProtection="1">
      <alignment horizontal="center" vertical="center" wrapText="1"/>
      <protection locked="0"/>
    </xf>
    <xf numFmtId="41" fontId="34" fillId="2" borderId="0" xfId="1" applyFont="1" applyFill="1" applyAlignment="1" applyProtection="1">
      <alignment horizontal="center" vertical="center" wrapText="1"/>
      <protection locked="0"/>
    </xf>
    <xf numFmtId="41" fontId="18" fillId="7" borderId="25" xfId="1" applyFont="1" applyFill="1" applyBorder="1" applyAlignment="1" applyProtection="1">
      <alignment horizontal="center" vertical="center" wrapText="1"/>
      <protection locked="0"/>
    </xf>
    <xf numFmtId="0" fontId="43" fillId="10" borderId="82" xfId="0" applyFont="1" applyFill="1" applyBorder="1" applyAlignment="1" applyProtection="1">
      <alignment horizontal="center" vertical="center" wrapText="1"/>
      <protection locked="0"/>
    </xf>
    <xf numFmtId="0" fontId="44" fillId="10" borderId="14" xfId="0" applyFont="1" applyFill="1" applyBorder="1" applyAlignment="1" applyProtection="1">
      <alignment horizontal="center" vertical="center" wrapText="1"/>
      <protection locked="0"/>
    </xf>
    <xf numFmtId="41" fontId="39" fillId="10" borderId="9" xfId="1" applyFont="1" applyFill="1" applyBorder="1" applyAlignment="1" applyProtection="1">
      <alignment horizontal="center" vertical="center" wrapText="1"/>
      <protection locked="0"/>
    </xf>
    <xf numFmtId="41" fontId="49" fillId="10" borderId="15" xfId="1" applyFont="1" applyFill="1" applyBorder="1" applyAlignment="1" applyProtection="1">
      <alignment horizontal="center" vertical="center" wrapText="1"/>
      <protection locked="0"/>
    </xf>
    <xf numFmtId="179" fontId="18" fillId="10" borderId="5" xfId="1" applyNumberFormat="1" applyFont="1" applyFill="1" applyBorder="1" applyAlignment="1" applyProtection="1">
      <alignment horizontal="center" vertical="center" wrapText="1"/>
      <protection locked="0"/>
    </xf>
    <xf numFmtId="179" fontId="61" fillId="10" borderId="4" xfId="1" applyNumberFormat="1" applyFont="1" applyFill="1" applyBorder="1" applyAlignment="1" applyProtection="1">
      <alignment horizontal="center" vertical="center" wrapText="1"/>
      <protection locked="0"/>
    </xf>
    <xf numFmtId="179" fontId="61" fillId="10" borderId="112" xfId="1" applyNumberFormat="1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10" borderId="14" xfId="0" applyFont="1" applyFill="1" applyBorder="1" applyAlignment="1" applyProtection="1">
      <alignment horizontal="center" vertical="center" wrapText="1"/>
      <protection locked="0"/>
    </xf>
    <xf numFmtId="0" fontId="54" fillId="10" borderId="14" xfId="0" applyFont="1" applyFill="1" applyBorder="1" applyAlignment="1" applyProtection="1">
      <alignment horizontal="center" vertical="center" wrapText="1"/>
      <protection locked="0"/>
    </xf>
    <xf numFmtId="41" fontId="39" fillId="10" borderId="16" xfId="1" applyFont="1" applyFill="1" applyBorder="1" applyAlignment="1" applyProtection="1">
      <alignment horizontal="center" vertical="center" wrapText="1"/>
      <protection locked="0"/>
    </xf>
    <xf numFmtId="41" fontId="49" fillId="10" borderId="17" xfId="1" applyFont="1" applyFill="1" applyBorder="1" applyAlignment="1" applyProtection="1">
      <alignment horizontal="center" vertical="center" wrapText="1"/>
      <protection locked="0"/>
    </xf>
    <xf numFmtId="41" fontId="49" fillId="10" borderId="14" xfId="1" applyFont="1" applyFill="1" applyBorder="1" applyAlignment="1" applyProtection="1">
      <alignment horizontal="center" vertical="center" wrapText="1"/>
      <protection locked="0"/>
    </xf>
    <xf numFmtId="41" fontId="39" fillId="9" borderId="4" xfId="1" applyFont="1" applyFill="1" applyBorder="1" applyAlignment="1" applyProtection="1">
      <alignment horizontal="center" vertical="center" wrapText="1"/>
      <protection locked="0"/>
    </xf>
    <xf numFmtId="41" fontId="39" fillId="9" borderId="4" xfId="1" applyFont="1" applyFill="1" applyBorder="1" applyAlignment="1" applyProtection="1">
      <alignment horizontal="right" vertical="center" wrapText="1"/>
      <protection locked="0"/>
    </xf>
    <xf numFmtId="41" fontId="39" fillId="9" borderId="106" xfId="1" applyFont="1" applyFill="1" applyBorder="1" applyAlignment="1" applyProtection="1">
      <alignment horizontal="center" vertical="center" wrapText="1"/>
      <protection locked="0"/>
    </xf>
    <xf numFmtId="41" fontId="39" fillId="9" borderId="9" xfId="1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Protection="1">
      <alignment vertical="center"/>
      <protection locked="0"/>
    </xf>
    <xf numFmtId="0" fontId="61" fillId="0" borderId="0" xfId="0" applyFont="1">
      <alignment vertical="center"/>
    </xf>
    <xf numFmtId="179" fontId="61" fillId="10" borderId="14" xfId="1" applyNumberFormat="1" applyFont="1" applyFill="1" applyBorder="1" applyAlignment="1" applyProtection="1">
      <alignment horizontal="center" vertical="center" wrapText="1"/>
      <protection locked="0"/>
    </xf>
    <xf numFmtId="0" fontId="44" fillId="10" borderId="9" xfId="0" applyFont="1" applyFill="1" applyBorder="1" applyAlignment="1" applyProtection="1">
      <alignment horizontal="center" vertical="center" wrapText="1"/>
      <protection locked="0"/>
    </xf>
    <xf numFmtId="0" fontId="60" fillId="10" borderId="9" xfId="0" applyFont="1" applyFill="1" applyBorder="1" applyAlignment="1" applyProtection="1">
      <alignment horizontal="center" vertical="center" wrapText="1"/>
      <protection locked="0"/>
    </xf>
    <xf numFmtId="0" fontId="58" fillId="10" borderId="9" xfId="0" applyFont="1" applyFill="1" applyBorder="1" applyAlignment="1" applyProtection="1">
      <alignment horizontal="center" vertical="center" wrapText="1"/>
      <protection locked="0"/>
    </xf>
    <xf numFmtId="0" fontId="58" fillId="10" borderId="16" xfId="0" applyFont="1" applyFill="1" applyBorder="1" applyAlignment="1" applyProtection="1">
      <alignment horizontal="center" vertical="center" wrapText="1"/>
      <protection locked="0"/>
    </xf>
    <xf numFmtId="179" fontId="18" fillId="10" borderId="4" xfId="1" applyNumberFormat="1" applyFont="1" applyFill="1" applyBorder="1" applyAlignment="1" applyProtection="1">
      <alignment horizontal="center" vertical="center" wrapText="1"/>
      <protection locked="0"/>
    </xf>
    <xf numFmtId="41" fontId="18" fillId="10" borderId="15" xfId="1" applyFont="1" applyFill="1" applyBorder="1" applyAlignment="1" applyProtection="1">
      <alignment horizontal="center" vertical="center" wrapText="1"/>
      <protection locked="0"/>
    </xf>
    <xf numFmtId="41" fontId="38" fillId="10" borderId="15" xfId="1" applyFont="1" applyFill="1" applyBorder="1" applyAlignment="1" applyProtection="1">
      <alignment horizontal="center" vertical="center" wrapText="1"/>
      <protection locked="0"/>
    </xf>
    <xf numFmtId="41" fontId="18" fillId="10" borderId="4" xfId="1" applyFont="1" applyFill="1" applyBorder="1" applyAlignment="1" applyProtection="1">
      <alignment horizontal="center" vertical="center" wrapText="1"/>
      <protection locked="0"/>
    </xf>
    <xf numFmtId="41" fontId="18" fillId="10" borderId="14" xfId="1" applyFont="1" applyFill="1" applyBorder="1" applyAlignment="1" applyProtection="1">
      <alignment horizontal="center" vertical="center" wrapText="1"/>
      <protection locked="0"/>
    </xf>
    <xf numFmtId="41" fontId="38" fillId="10" borderId="17" xfId="1" applyFont="1" applyFill="1" applyBorder="1" applyAlignment="1" applyProtection="1">
      <alignment horizontal="center" vertical="center" wrapText="1"/>
      <protection locked="0"/>
    </xf>
    <xf numFmtId="41" fontId="18" fillId="10" borderId="4" xfId="1" applyFont="1" applyFill="1" applyBorder="1" applyAlignment="1" applyProtection="1">
      <alignment horizontal="right" vertical="center" wrapText="1"/>
      <protection locked="0"/>
    </xf>
    <xf numFmtId="41" fontId="18" fillId="10" borderId="106" xfId="1" applyFont="1" applyFill="1" applyBorder="1" applyAlignment="1" applyProtection="1">
      <alignment horizontal="right" vertical="center" wrapText="1"/>
      <protection locked="0"/>
    </xf>
    <xf numFmtId="41" fontId="49" fillId="9" borderId="4" xfId="1" applyFont="1" applyFill="1" applyBorder="1" applyAlignment="1" applyProtection="1">
      <alignment horizontal="center" vertical="center" wrapText="1"/>
      <protection locked="0"/>
    </xf>
    <xf numFmtId="41" fontId="49" fillId="9" borderId="106" xfId="1" applyFont="1" applyFill="1" applyBorder="1" applyAlignment="1" applyProtection="1">
      <alignment horizontal="center" vertical="center" wrapText="1"/>
      <protection locked="0"/>
    </xf>
    <xf numFmtId="0" fontId="63" fillId="10" borderId="0" xfId="0" applyFont="1" applyFill="1" applyAlignment="1" applyProtection="1">
      <alignment horizontal="left" vertical="center" wrapText="1"/>
      <protection locked="0"/>
    </xf>
    <xf numFmtId="0" fontId="18" fillId="0" borderId="0" xfId="0" applyFont="1" applyAlignment="1">
      <alignment vertical="center" wrapText="1"/>
    </xf>
    <xf numFmtId="177" fontId="3" fillId="10" borderId="41" xfId="0" applyNumberFormat="1" applyFont="1" applyFill="1" applyBorder="1" applyAlignment="1" applyProtection="1">
      <alignment horizontal="center" vertical="center" wrapText="1"/>
      <protection locked="0"/>
    </xf>
    <xf numFmtId="177" fontId="31" fillId="10" borderId="41" xfId="0" applyNumberFormat="1" applyFont="1" applyFill="1" applyBorder="1" applyAlignment="1" applyProtection="1">
      <alignment horizontal="center" vertical="center" wrapText="1"/>
      <protection locked="0"/>
    </xf>
    <xf numFmtId="41" fontId="64" fillId="10" borderId="104" xfId="1" applyFont="1" applyFill="1" applyBorder="1" applyAlignment="1" applyProtection="1">
      <alignment horizontal="center" vertical="center" wrapText="1"/>
      <protection locked="0"/>
    </xf>
    <xf numFmtId="41" fontId="65" fillId="10" borderId="104" xfId="1" applyFont="1" applyFill="1" applyBorder="1" applyAlignment="1" applyProtection="1">
      <alignment horizontal="center" vertical="center" wrapText="1"/>
      <protection locked="0"/>
    </xf>
    <xf numFmtId="0" fontId="48" fillId="10" borderId="4" xfId="0" applyFont="1" applyFill="1" applyBorder="1" applyAlignment="1" applyProtection="1">
      <alignment horizontal="center" vertical="center" wrapText="1"/>
      <protection locked="0"/>
    </xf>
    <xf numFmtId="41" fontId="39" fillId="10" borderId="13" xfId="1" applyFont="1" applyFill="1" applyBorder="1" applyAlignment="1" applyProtection="1">
      <alignment horizontal="center" vertical="center" wrapText="1"/>
      <protection locked="0"/>
    </xf>
    <xf numFmtId="41" fontId="39" fillId="9" borderId="13" xfId="1" applyFont="1" applyFill="1" applyBorder="1" applyAlignment="1" applyProtection="1">
      <alignment horizontal="center" vertical="center" wrapText="1"/>
      <protection locked="0"/>
    </xf>
    <xf numFmtId="41" fontId="49" fillId="10" borderId="13" xfId="1" applyFont="1" applyFill="1" applyBorder="1" applyAlignment="1" applyProtection="1">
      <alignment horizontal="center" vertical="center" wrapText="1"/>
      <protection locked="0"/>
    </xf>
    <xf numFmtId="41" fontId="38" fillId="9" borderId="15" xfId="1" applyFont="1" applyFill="1" applyBorder="1" applyAlignment="1" applyProtection="1">
      <alignment horizontal="center" vertical="center" wrapText="1"/>
      <protection locked="0"/>
    </xf>
    <xf numFmtId="0" fontId="44" fillId="10" borderId="4" xfId="0" applyFont="1" applyFill="1" applyBorder="1" applyAlignment="1" applyProtection="1">
      <alignment horizontal="center" vertical="center" wrapText="1"/>
      <protection locked="0"/>
    </xf>
    <xf numFmtId="177" fontId="3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41" fontId="18" fillId="10" borderId="41" xfId="1" applyFont="1" applyFill="1" applyBorder="1" applyAlignment="1" applyProtection="1">
      <alignment horizontal="center" vertical="center" wrapText="1"/>
      <protection locked="0"/>
    </xf>
    <xf numFmtId="0" fontId="59" fillId="10" borderId="110" xfId="0" applyFont="1" applyFill="1" applyBorder="1" applyAlignment="1" applyProtection="1">
      <alignment horizontal="center" vertical="center" wrapText="1"/>
      <protection locked="0"/>
    </xf>
    <xf numFmtId="177" fontId="44" fillId="10" borderId="9" xfId="0" applyNumberFormat="1" applyFont="1" applyFill="1" applyBorder="1" applyAlignment="1" applyProtection="1">
      <alignment horizontal="center" vertical="center" wrapText="1"/>
      <protection locked="0"/>
    </xf>
    <xf numFmtId="41" fontId="47" fillId="7" borderId="9" xfId="1" applyFont="1" applyFill="1" applyBorder="1" applyAlignment="1" applyProtection="1">
      <alignment horizontal="center" vertical="center" wrapText="1"/>
      <protection locked="0"/>
    </xf>
    <xf numFmtId="41" fontId="47" fillId="7" borderId="15" xfId="1" applyFont="1" applyFill="1" applyBorder="1" applyAlignment="1" applyProtection="1">
      <alignment horizontal="center" vertical="center" wrapText="1"/>
      <protection locked="0"/>
    </xf>
    <xf numFmtId="0" fontId="58" fillId="10" borderId="104" xfId="0" applyFont="1" applyFill="1" applyBorder="1" applyAlignment="1" applyProtection="1">
      <alignment horizontal="center" vertical="center" wrapText="1"/>
      <protection locked="0"/>
    </xf>
    <xf numFmtId="0" fontId="58" fillId="9" borderId="104" xfId="0" applyFont="1" applyFill="1" applyBorder="1" applyAlignment="1" applyProtection="1">
      <alignment horizontal="center" vertical="center" wrapText="1"/>
      <protection locked="0"/>
    </xf>
    <xf numFmtId="0" fontId="58" fillId="0" borderId="104" xfId="0" applyFont="1" applyBorder="1" applyAlignment="1" applyProtection="1">
      <alignment horizontal="center" vertical="center" wrapText="1"/>
      <protection locked="0"/>
    </xf>
    <xf numFmtId="0" fontId="44" fillId="9" borderId="104" xfId="0" applyFont="1" applyFill="1" applyBorder="1" applyAlignment="1" applyProtection="1">
      <alignment horizontal="center" vertical="center" wrapText="1"/>
      <protection locked="0"/>
    </xf>
    <xf numFmtId="0" fontId="58" fillId="10" borderId="103" xfId="0" applyFont="1" applyFill="1" applyBorder="1" applyAlignment="1" applyProtection="1">
      <alignment horizontal="center" vertical="center" wrapText="1"/>
      <protection locked="0"/>
    </xf>
    <xf numFmtId="0" fontId="37" fillId="10" borderId="15" xfId="0" applyFont="1" applyFill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8" fillId="0" borderId="9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37" fillId="10" borderId="15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55" fillId="10" borderId="15" xfId="0" applyFont="1" applyFill="1" applyBorder="1" applyAlignment="1" applyProtection="1">
      <alignment horizontal="center" vertical="center" wrapText="1"/>
      <protection locked="0"/>
    </xf>
    <xf numFmtId="0" fontId="15" fillId="10" borderId="17" xfId="0" applyFont="1" applyFill="1" applyBorder="1" applyAlignment="1">
      <alignment horizontal="center" vertical="center"/>
    </xf>
    <xf numFmtId="41" fontId="47" fillId="11" borderId="5" xfId="1" applyFont="1" applyFill="1" applyBorder="1" applyAlignment="1" applyProtection="1">
      <alignment horizontal="center" vertical="center" wrapText="1"/>
      <protection locked="0"/>
    </xf>
    <xf numFmtId="41" fontId="47" fillId="11" borderId="4" xfId="1" applyFont="1" applyFill="1" applyBorder="1" applyAlignment="1" applyProtection="1">
      <alignment horizontal="center" vertical="center" wrapText="1"/>
      <protection locked="0"/>
    </xf>
    <xf numFmtId="41" fontId="47" fillId="11" borderId="15" xfId="1" applyFont="1" applyFill="1" applyBorder="1" applyAlignment="1" applyProtection="1">
      <alignment horizontal="center" vertical="center" wrapText="1"/>
      <protection locked="0"/>
    </xf>
    <xf numFmtId="41" fontId="18" fillId="11" borderId="5" xfId="1" applyFont="1" applyFill="1" applyBorder="1" applyAlignment="1" applyProtection="1">
      <alignment horizontal="center" vertical="center" wrapText="1"/>
      <protection locked="0"/>
    </xf>
    <xf numFmtId="41" fontId="18" fillId="11" borderId="4" xfId="1" applyFont="1" applyFill="1" applyBorder="1" applyAlignment="1" applyProtection="1">
      <alignment horizontal="center" vertical="center" wrapText="1"/>
      <protection locked="0"/>
    </xf>
    <xf numFmtId="179" fontId="61" fillId="11" borderId="4" xfId="1" applyNumberFormat="1" applyFont="1" applyFill="1" applyBorder="1" applyAlignment="1" applyProtection="1">
      <alignment horizontal="center" vertical="center" wrapText="1"/>
      <protection locked="0"/>
    </xf>
    <xf numFmtId="41" fontId="18" fillId="11" borderId="15" xfId="1" applyFont="1" applyFill="1" applyBorder="1" applyAlignment="1" applyProtection="1">
      <alignment horizontal="center" vertical="center" wrapText="1"/>
      <protection locked="0"/>
    </xf>
    <xf numFmtId="0" fontId="44" fillId="11" borderId="104" xfId="0" applyFont="1" applyFill="1" applyBorder="1" applyAlignment="1" applyProtection="1">
      <alignment horizontal="center" vertical="center" wrapText="1"/>
      <protection locked="0"/>
    </xf>
    <xf numFmtId="0" fontId="51" fillId="11" borderId="9" xfId="0" applyFont="1" applyFill="1" applyBorder="1" applyAlignment="1" applyProtection="1">
      <alignment horizontal="center" vertical="center" wrapText="1"/>
      <protection locked="0"/>
    </xf>
    <xf numFmtId="0" fontId="41" fillId="11" borderId="4" xfId="0" applyFont="1" applyFill="1" applyBorder="1" applyAlignment="1" applyProtection="1">
      <alignment vertical="center" wrapText="1"/>
      <protection locked="0"/>
    </xf>
    <xf numFmtId="0" fontId="41" fillId="11" borderId="15" xfId="0" applyFont="1" applyFill="1" applyBorder="1" applyAlignment="1" applyProtection="1">
      <alignment horizontal="center" vertical="center" wrapText="1"/>
      <protection locked="0"/>
    </xf>
    <xf numFmtId="41" fontId="64" fillId="10" borderId="108" xfId="1" applyFont="1" applyFill="1" applyBorder="1" applyAlignment="1" applyProtection="1">
      <alignment horizontal="center" vertical="center" wrapText="1"/>
      <protection locked="0"/>
    </xf>
    <xf numFmtId="0" fontId="44" fillId="10" borderId="25" xfId="0" applyFont="1" applyFill="1" applyBorder="1" applyAlignment="1" applyProtection="1">
      <alignment horizontal="center" vertical="center" wrapText="1"/>
      <protection locked="0"/>
    </xf>
    <xf numFmtId="0" fontId="56" fillId="10" borderId="26" xfId="0" applyFont="1" applyFill="1" applyBorder="1" applyAlignment="1" applyProtection="1">
      <alignment horizontal="center" vertical="center" wrapText="1"/>
      <protection locked="0"/>
    </xf>
    <xf numFmtId="41" fontId="39" fillId="10" borderId="13" xfId="1" applyFont="1" applyFill="1" applyBorder="1" applyAlignment="1" applyProtection="1">
      <alignment horizontal="right" vertical="center" wrapText="1"/>
      <protection locked="0"/>
    </xf>
    <xf numFmtId="41" fontId="49" fillId="9" borderId="13" xfId="1" applyFont="1" applyFill="1" applyBorder="1" applyAlignment="1" applyProtection="1">
      <alignment horizontal="center" vertical="center" wrapText="1"/>
      <protection locked="0"/>
    </xf>
    <xf numFmtId="179" fontId="61" fillId="10" borderId="3" xfId="1" applyNumberFormat="1" applyFont="1" applyFill="1" applyBorder="1" applyAlignment="1" applyProtection="1">
      <alignment horizontal="center" vertical="center" wrapText="1"/>
      <protection locked="0"/>
    </xf>
    <xf numFmtId="41" fontId="53" fillId="10" borderId="21" xfId="1" applyFont="1" applyFill="1" applyBorder="1" applyAlignment="1" applyProtection="1">
      <alignment horizontal="center" vertical="center" wrapText="1"/>
      <protection locked="0"/>
    </xf>
    <xf numFmtId="41" fontId="52" fillId="10" borderId="19" xfId="1" applyFont="1" applyFill="1" applyBorder="1" applyAlignment="1" applyProtection="1">
      <alignment horizontal="center" vertical="center" wrapText="1"/>
      <protection locked="0"/>
    </xf>
    <xf numFmtId="0" fontId="60" fillId="10" borderId="13" xfId="0" applyFont="1" applyFill="1" applyBorder="1" applyAlignment="1" applyProtection="1">
      <alignment horizontal="center" vertical="center" wrapText="1"/>
      <protection locked="0"/>
    </xf>
    <xf numFmtId="0" fontId="32" fillId="10" borderId="13" xfId="0" applyFont="1" applyFill="1" applyBorder="1" applyAlignment="1" applyProtection="1">
      <alignment horizontal="center" vertical="center" wrapText="1"/>
      <protection locked="0"/>
    </xf>
    <xf numFmtId="41" fontId="39" fillId="10" borderId="31" xfId="1" applyFont="1" applyFill="1" applyBorder="1" applyAlignment="1" applyProtection="1">
      <alignment horizontal="center" vertical="center" wrapText="1"/>
      <protection locked="0"/>
    </xf>
    <xf numFmtId="41" fontId="39" fillId="9" borderId="31" xfId="1" applyFont="1" applyFill="1" applyBorder="1" applyAlignment="1" applyProtection="1">
      <alignment horizontal="center" vertical="center" wrapText="1"/>
      <protection locked="0"/>
    </xf>
    <xf numFmtId="41" fontId="49" fillId="9" borderId="31" xfId="1" applyFont="1" applyFill="1" applyBorder="1" applyAlignment="1" applyProtection="1">
      <alignment horizontal="center" vertical="center" wrapText="1"/>
      <protection locked="0"/>
    </xf>
    <xf numFmtId="41" fontId="49" fillId="10" borderId="31" xfId="1" applyFont="1" applyFill="1" applyBorder="1" applyAlignment="1" applyProtection="1">
      <alignment horizontal="center" vertical="center" wrapText="1"/>
      <protection locked="0"/>
    </xf>
    <xf numFmtId="41" fontId="18" fillId="10" borderId="10" xfId="1" applyFont="1" applyFill="1" applyBorder="1" applyAlignment="1" applyProtection="1">
      <alignment horizontal="center" vertical="center" wrapText="1"/>
      <protection locked="0"/>
    </xf>
    <xf numFmtId="41" fontId="53" fillId="10" borderId="18" xfId="1" applyFont="1" applyFill="1" applyBorder="1" applyAlignment="1" applyProtection="1">
      <alignment horizontal="center" vertical="center" wrapText="1"/>
      <protection locked="0"/>
    </xf>
    <xf numFmtId="41" fontId="53" fillId="10" borderId="113" xfId="1" applyFont="1" applyFill="1" applyBorder="1" applyAlignment="1" applyProtection="1">
      <alignment horizontal="center" vertical="center" wrapText="1"/>
      <protection locked="0"/>
    </xf>
    <xf numFmtId="179" fontId="18" fillId="9" borderId="5" xfId="1" applyNumberFormat="1" applyFont="1" applyFill="1" applyBorder="1" applyAlignment="1" applyProtection="1">
      <alignment horizontal="center" vertical="center" wrapText="1"/>
      <protection locked="0"/>
    </xf>
    <xf numFmtId="179" fontId="18" fillId="9" borderId="6" xfId="1" applyNumberFormat="1" applyFont="1" applyFill="1" applyBorder="1" applyAlignment="1" applyProtection="1">
      <alignment horizontal="center" vertical="center" wrapText="1"/>
      <protection locked="0"/>
    </xf>
    <xf numFmtId="179" fontId="18" fillId="9" borderId="39" xfId="1" applyNumberFormat="1" applyFont="1" applyFill="1" applyBorder="1" applyAlignment="1" applyProtection="1">
      <alignment horizontal="center" vertical="center" wrapText="1"/>
      <protection locked="0"/>
    </xf>
    <xf numFmtId="179" fontId="18" fillId="10" borderId="106" xfId="1" applyNumberFormat="1" applyFont="1" applyFill="1" applyBorder="1" applyAlignment="1" applyProtection="1">
      <alignment horizontal="right" vertical="center" wrapText="1"/>
      <protection locked="0"/>
    </xf>
    <xf numFmtId="41" fontId="66" fillId="10" borderId="108" xfId="1" applyFont="1" applyFill="1" applyBorder="1" applyAlignment="1" applyProtection="1">
      <alignment horizontal="center" vertical="center" wrapText="1"/>
      <protection locked="0"/>
    </xf>
    <xf numFmtId="41" fontId="49" fillId="12" borderId="4" xfId="1" applyFont="1" applyFill="1" applyBorder="1" applyAlignment="1" applyProtection="1">
      <alignment horizontal="center" vertical="center" wrapText="1"/>
      <protection locked="0"/>
    </xf>
    <xf numFmtId="41" fontId="49" fillId="12" borderId="106" xfId="1" applyFont="1" applyFill="1" applyBorder="1" applyAlignment="1" applyProtection="1">
      <alignment horizontal="center" vertical="center" wrapText="1"/>
      <protection locked="0"/>
    </xf>
    <xf numFmtId="179" fontId="18" fillId="12" borderId="4" xfId="1" applyNumberFormat="1" applyFont="1" applyFill="1" applyBorder="1" applyAlignment="1" applyProtection="1">
      <alignment horizontal="center" vertical="center" wrapText="1"/>
      <protection locked="0"/>
    </xf>
    <xf numFmtId="41" fontId="18" fillId="7" borderId="13" xfId="1" applyFont="1" applyFill="1" applyBorder="1" applyAlignment="1" applyProtection="1">
      <alignment horizontal="center" vertical="center" wrapText="1"/>
      <protection locked="0"/>
    </xf>
    <xf numFmtId="179" fontId="18" fillId="10" borderId="13" xfId="1" applyNumberFormat="1" applyFont="1" applyFill="1" applyBorder="1" applyAlignment="1" applyProtection="1">
      <alignment horizontal="center" vertical="center" wrapText="1"/>
      <protection locked="0"/>
    </xf>
    <xf numFmtId="179" fontId="18" fillId="9" borderId="25" xfId="1" applyNumberFormat="1" applyFont="1" applyFill="1" applyBorder="1" applyAlignment="1" applyProtection="1">
      <alignment horizontal="center" vertical="center" wrapText="1"/>
      <protection locked="0"/>
    </xf>
    <xf numFmtId="41" fontId="67" fillId="10" borderId="104" xfId="1" applyFont="1" applyFill="1" applyBorder="1" applyAlignment="1" applyProtection="1">
      <alignment horizontal="center" vertical="center" wrapText="1"/>
      <protection locked="0"/>
    </xf>
    <xf numFmtId="41" fontId="67" fillId="10" borderId="26" xfId="1" applyFont="1" applyFill="1" applyBorder="1" applyAlignment="1" applyProtection="1">
      <alignment horizontal="center" vertical="center" wrapText="1"/>
      <protection locked="0"/>
    </xf>
    <xf numFmtId="0" fontId="41" fillId="7" borderId="26" xfId="0" applyFont="1" applyFill="1" applyBorder="1" applyAlignment="1" applyProtection="1">
      <alignment horizontal="center" vertical="center" wrapText="1"/>
      <protection locked="0"/>
    </xf>
    <xf numFmtId="41" fontId="50" fillId="7" borderId="13" xfId="1" applyFont="1" applyFill="1" applyBorder="1" applyAlignment="1" applyProtection="1">
      <alignment horizontal="center" vertical="center" wrapText="1"/>
      <protection locked="0"/>
    </xf>
    <xf numFmtId="41" fontId="61" fillId="7" borderId="25" xfId="1" applyFont="1" applyFill="1" applyBorder="1" applyAlignment="1" applyProtection="1">
      <alignment horizontal="center" vertical="center" wrapText="1"/>
      <protection locked="0"/>
    </xf>
    <xf numFmtId="41" fontId="53" fillId="7" borderId="21" xfId="1" applyFont="1" applyFill="1" applyBorder="1" applyAlignment="1" applyProtection="1">
      <alignment horizontal="center" vertical="center" wrapText="1"/>
      <protection locked="0"/>
    </xf>
    <xf numFmtId="41" fontId="40" fillId="7" borderId="19" xfId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44" fillId="10" borderId="41" xfId="0" applyFont="1" applyFill="1" applyBorder="1" applyAlignment="1" applyProtection="1">
      <alignment horizontal="center" vertical="center" wrapText="1"/>
      <protection locked="0"/>
    </xf>
    <xf numFmtId="0" fontId="56" fillId="10" borderId="103" xfId="0" applyFont="1" applyFill="1" applyBorder="1" applyAlignment="1" applyProtection="1">
      <alignment horizontal="center" vertical="center" wrapText="1"/>
      <protection locked="0"/>
    </xf>
    <xf numFmtId="41" fontId="52" fillId="10" borderId="17" xfId="1" applyFont="1" applyFill="1" applyBorder="1" applyAlignment="1" applyProtection="1">
      <alignment horizontal="center" vertical="center" wrapText="1"/>
      <protection locked="0"/>
    </xf>
    <xf numFmtId="41" fontId="39" fillId="12" borderId="4" xfId="1" applyFont="1" applyFill="1" applyBorder="1" applyAlignment="1" applyProtection="1">
      <alignment horizontal="center" vertical="center" wrapText="1"/>
      <protection locked="0"/>
    </xf>
    <xf numFmtId="0" fontId="19" fillId="6" borderId="2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27" fillId="4" borderId="65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left" vertical="center" wrapText="1" indent="1"/>
    </xf>
    <xf numFmtId="0" fontId="16" fillId="2" borderId="33" xfId="0" applyFont="1" applyFill="1" applyBorder="1" applyAlignment="1">
      <alignment horizontal="left" vertical="center" wrapText="1" indent="1"/>
    </xf>
    <xf numFmtId="0" fontId="15" fillId="0" borderId="5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15" fillId="5" borderId="54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43" fillId="10" borderId="12" xfId="0" applyFont="1" applyFill="1" applyBorder="1" applyAlignment="1" applyProtection="1">
      <alignment horizontal="center" vertical="center" wrapText="1"/>
      <protection locked="0"/>
    </xf>
    <xf numFmtId="0" fontId="43" fillId="10" borderId="82" xfId="0" applyFont="1" applyFill="1" applyBorder="1" applyAlignment="1" applyProtection="1">
      <alignment horizontal="center" vertical="center" wrapText="1"/>
      <protection locked="0"/>
    </xf>
    <xf numFmtId="0" fontId="0" fillId="10" borderId="110" xfId="0" applyFill="1" applyBorder="1" applyAlignment="1">
      <alignment horizontal="center" vertical="center" wrapText="1"/>
    </xf>
    <xf numFmtId="0" fontId="41" fillId="0" borderId="109" xfId="0" applyFont="1" applyBorder="1" applyAlignment="1" applyProtection="1">
      <alignment horizontal="center" vertical="center" wrapText="1"/>
      <protection locked="0"/>
    </xf>
    <xf numFmtId="0" fontId="41" fillId="0" borderId="9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04" xfId="0" applyFont="1" applyBorder="1" applyAlignment="1" applyProtection="1">
      <alignment horizontal="center" vertical="center" wrapText="1"/>
      <protection locked="0"/>
    </xf>
    <xf numFmtId="0" fontId="59" fillId="10" borderId="109" xfId="0" applyFont="1" applyFill="1" applyBorder="1" applyAlignment="1" applyProtection="1">
      <alignment horizontal="center" vertical="center" wrapText="1"/>
      <protection locked="0"/>
    </xf>
    <xf numFmtId="0" fontId="59" fillId="10" borderId="9" xfId="0" applyFont="1" applyFill="1" applyBorder="1" applyAlignment="1" applyProtection="1">
      <alignment horizontal="center" vertical="center" wrapText="1"/>
      <protection locked="0"/>
    </xf>
    <xf numFmtId="0" fontId="43" fillId="10" borderId="4" xfId="0" applyFont="1" applyFill="1" applyBorder="1" applyAlignment="1" applyProtection="1">
      <alignment horizontal="center" vertical="center" wrapText="1"/>
      <protection locked="0"/>
    </xf>
    <xf numFmtId="0" fontId="43" fillId="10" borderId="110" xfId="0" applyFont="1" applyFill="1" applyBorder="1" applyAlignment="1" applyProtection="1">
      <alignment horizontal="center" vertical="center" wrapText="1"/>
      <protection locked="0"/>
    </xf>
    <xf numFmtId="0" fontId="43" fillId="10" borderId="15" xfId="0" applyFont="1" applyFill="1" applyBorder="1" applyAlignment="1" applyProtection="1">
      <alignment horizontal="center" vertical="center" wrapText="1"/>
      <protection locked="0"/>
    </xf>
    <xf numFmtId="0" fontId="3" fillId="9" borderId="2" xfId="0" applyFont="1" applyFill="1" applyBorder="1" applyAlignment="1" applyProtection="1">
      <alignment horizontal="center" vertical="center" wrapText="1"/>
      <protection locked="0"/>
    </xf>
    <xf numFmtId="0" fontId="43" fillId="10" borderId="10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1" fillId="0" borderId="27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59" fillId="10" borderId="27" xfId="0" applyFont="1" applyFill="1" applyBorder="1" applyAlignment="1" applyProtection="1">
      <alignment horizontal="center" vertical="center" wrapText="1"/>
      <protection locked="0"/>
    </xf>
    <xf numFmtId="0" fontId="59" fillId="10" borderId="20" xfId="0" applyFont="1" applyFill="1" applyBorder="1" applyAlignment="1" applyProtection="1">
      <alignment horizontal="center" vertical="center" wrapText="1"/>
      <protection locked="0"/>
    </xf>
    <xf numFmtId="0" fontId="43" fillId="10" borderId="29" xfId="0" applyFont="1" applyFill="1" applyBorder="1" applyAlignment="1" applyProtection="1">
      <alignment horizontal="center" vertical="center" wrapText="1"/>
      <protection locked="0"/>
    </xf>
    <xf numFmtId="0" fontId="43" fillId="10" borderId="56" xfId="0" applyFont="1" applyFill="1" applyBorder="1" applyAlignment="1" applyProtection="1">
      <alignment horizontal="center" vertical="center" wrapText="1"/>
      <protection locked="0"/>
    </xf>
    <xf numFmtId="41" fontId="18" fillId="10" borderId="106" xfId="1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60" fillId="10" borderId="14" xfId="0" applyFont="1" applyFill="1" applyBorder="1" applyAlignment="1" applyProtection="1">
      <alignment horizontal="center" vertical="center" wrapText="1"/>
      <protection locked="0"/>
    </xf>
    <xf numFmtId="0" fontId="32" fillId="10" borderId="14" xfId="0" applyFont="1" applyFill="1" applyBorder="1" applyAlignment="1" applyProtection="1">
      <alignment horizontal="center" vertical="center" wrapText="1"/>
      <protection locked="0"/>
    </xf>
    <xf numFmtId="41" fontId="49" fillId="9" borderId="14" xfId="1" applyFont="1" applyFill="1" applyBorder="1" applyAlignment="1" applyProtection="1">
      <alignment horizontal="center" vertical="center" wrapText="1"/>
      <protection locked="0"/>
    </xf>
    <xf numFmtId="41" fontId="18" fillId="10" borderId="14" xfId="1" applyFont="1" applyFill="1" applyBorder="1" applyAlignment="1" applyProtection="1">
      <alignment horizontal="right" vertical="center" wrapText="1"/>
      <protection locked="0"/>
    </xf>
    <xf numFmtId="179" fontId="18" fillId="9" borderId="41" xfId="1" applyNumberFormat="1" applyFont="1" applyFill="1" applyBorder="1" applyAlignment="1" applyProtection="1">
      <alignment horizontal="center" vertical="center" wrapText="1"/>
      <protection locked="0"/>
    </xf>
    <xf numFmtId="179" fontId="18" fillId="10" borderId="14" xfId="1" applyNumberFormat="1" applyFont="1" applyFill="1" applyBorder="1" applyAlignment="1" applyProtection="1">
      <alignment horizontal="right" vertical="center" wrapText="1"/>
      <protection locked="0"/>
    </xf>
    <xf numFmtId="179" fontId="61" fillId="10" borderId="111" xfId="1" applyNumberFormat="1" applyFont="1" applyFill="1" applyBorder="1" applyAlignment="1" applyProtection="1">
      <alignment horizontal="center" vertical="center" wrapText="1"/>
      <protection locked="0"/>
    </xf>
    <xf numFmtId="41" fontId="18" fillId="10" borderId="103" xfId="1" applyFont="1" applyFill="1" applyBorder="1" applyAlignment="1" applyProtection="1">
      <alignment horizontal="center" vertical="center" wrapText="1"/>
      <protection locked="0"/>
    </xf>
    <xf numFmtId="41" fontId="53" fillId="10" borderId="17" xfId="1" applyFont="1" applyFill="1" applyBorder="1" applyAlignment="1" applyProtection="1">
      <alignment horizontal="center" vertical="center" wrapText="1"/>
      <protection locked="0"/>
    </xf>
    <xf numFmtId="41" fontId="18" fillId="12" borderId="106" xfId="1" applyFont="1" applyFill="1" applyBorder="1" applyAlignment="1" applyProtection="1">
      <alignment horizontal="right" vertical="center" wrapText="1"/>
      <protection locked="0"/>
    </xf>
    <xf numFmtId="41" fontId="18" fillId="12" borderId="31" xfId="1" applyFont="1" applyFill="1" applyBorder="1" applyAlignment="1" applyProtection="1">
      <alignment horizontal="right" vertical="center" wrapText="1"/>
      <protection locked="0"/>
    </xf>
    <xf numFmtId="0" fontId="44" fillId="10" borderId="39" xfId="0" applyFont="1" applyFill="1" applyBorder="1" applyAlignment="1" applyProtection="1">
      <alignment horizontal="center" vertical="center" wrapText="1"/>
      <protection locked="0"/>
    </xf>
    <xf numFmtId="0" fontId="56" fillId="10" borderId="108" xfId="0" applyFont="1" applyFill="1" applyBorder="1" applyAlignment="1" applyProtection="1">
      <alignment horizontal="center" vertical="center" wrapText="1"/>
      <protection locked="0"/>
    </xf>
    <xf numFmtId="179" fontId="18" fillId="10" borderId="39" xfId="1" applyNumberFormat="1" applyFont="1" applyFill="1" applyBorder="1" applyAlignment="1" applyProtection="1">
      <alignment horizontal="center" vertical="center" wrapText="1"/>
      <protection locked="0"/>
    </xf>
    <xf numFmtId="179" fontId="18" fillId="10" borderId="106" xfId="1" applyNumberFormat="1" applyFont="1" applyFill="1" applyBorder="1" applyAlignment="1" applyProtection="1">
      <alignment horizontal="center" vertical="center" wrapText="1"/>
      <protection locked="0"/>
    </xf>
    <xf numFmtId="179" fontId="61" fillId="10" borderId="114" xfId="1" applyNumberFormat="1" applyFont="1" applyFill="1" applyBorder="1" applyAlignment="1" applyProtection="1">
      <alignment horizontal="center" vertical="center" wrapText="1"/>
      <protection locked="0"/>
    </xf>
    <xf numFmtId="41" fontId="38" fillId="10" borderId="108" xfId="1" applyFont="1" applyFill="1" applyBorder="1" applyAlignment="1" applyProtection="1">
      <alignment horizontal="center" vertical="center" wrapText="1"/>
      <protection locked="0"/>
    </xf>
    <xf numFmtId="41" fontId="52" fillId="10" borderId="107" xfId="1" applyFont="1" applyFill="1" applyBorder="1" applyAlignment="1" applyProtection="1">
      <alignment horizontal="center" vertical="center" wrapText="1"/>
      <protection locked="0"/>
    </xf>
    <xf numFmtId="41" fontId="49" fillId="12" borderId="15" xfId="1" applyFont="1" applyFill="1" applyBorder="1" applyAlignment="1" applyProtection="1">
      <alignment horizontal="center" vertical="center" wrapText="1"/>
      <protection locked="0"/>
    </xf>
    <xf numFmtId="41" fontId="18" fillId="10" borderId="15" xfId="1" applyFont="1" applyFill="1" applyBorder="1" applyAlignment="1" applyProtection="1">
      <alignment horizontal="right" vertical="center" wrapText="1"/>
      <protection locked="0"/>
    </xf>
    <xf numFmtId="41" fontId="64" fillId="9" borderId="15" xfId="1" applyFont="1" applyFill="1" applyBorder="1" applyAlignment="1" applyProtection="1">
      <alignment horizontal="center" vertical="center" wrapText="1"/>
      <protection locked="0"/>
    </xf>
    <xf numFmtId="41" fontId="65" fillId="9" borderId="15" xfId="1" applyFont="1" applyFill="1" applyBorder="1" applyAlignment="1" applyProtection="1">
      <alignment horizontal="center" vertical="center" wrapText="1"/>
      <protection locked="0"/>
    </xf>
    <xf numFmtId="41" fontId="65" fillId="10" borderId="15" xfId="1" applyFont="1" applyFill="1" applyBorder="1" applyAlignment="1" applyProtection="1">
      <alignment horizontal="center" vertical="center" wrapText="1"/>
      <protection locked="0"/>
    </xf>
    <xf numFmtId="41" fontId="64" fillId="10" borderId="15" xfId="1" applyFont="1" applyFill="1" applyBorder="1" applyAlignment="1" applyProtection="1">
      <alignment horizontal="center" vertical="center" wrapText="1"/>
      <protection locked="0"/>
    </xf>
    <xf numFmtId="41" fontId="39" fillId="12" borderId="15" xfId="1" applyFont="1" applyFill="1" applyBorder="1" applyAlignment="1" applyProtection="1">
      <alignment horizontal="center" vertical="center" wrapText="1"/>
      <protection locked="0"/>
    </xf>
  </cellXfs>
  <cellStyles count="14">
    <cellStyle name="Comma [0]_ SG&amp;A Bridge " xfId="9" xr:uid="{00000000-0005-0000-0000-000000000000}"/>
    <cellStyle name="Comma_ SG&amp;A Bridge " xfId="10" xr:uid="{00000000-0005-0000-0000-000001000000}"/>
    <cellStyle name="Currency [0]_ SG&amp;A Bridge " xfId="11" xr:uid="{00000000-0005-0000-0000-000002000000}"/>
    <cellStyle name="Currency_ SG&amp;A Bridge " xfId="12" xr:uid="{00000000-0005-0000-0000-000003000000}"/>
    <cellStyle name="Normal_ SG&amp;A Bridge " xfId="13" xr:uid="{00000000-0005-0000-0000-000004000000}"/>
    <cellStyle name="백분율" xfId="2" builtinId="5"/>
    <cellStyle name="뷭?_BOOKSHIP" xfId="3" xr:uid="{00000000-0005-0000-0000-000006000000}"/>
    <cellStyle name="쉼표 [0]" xfId="1" builtinId="6"/>
    <cellStyle name="쉼표 [0] 2" xfId="4" xr:uid="{00000000-0005-0000-0000-000008000000}"/>
    <cellStyle name="쉼표 [0] 2 2" xfId="5" xr:uid="{00000000-0005-0000-0000-000009000000}"/>
    <cellStyle name="콤마 [0]_1202" xfId="6" xr:uid="{00000000-0005-0000-0000-00000A000000}"/>
    <cellStyle name="콤마_1202" xfId="7" xr:uid="{00000000-0005-0000-0000-00000B000000}"/>
    <cellStyle name="표준" xfId="0" builtinId="0"/>
    <cellStyle name="표준 2" xfId="8" xr:uid="{00000000-0005-0000-0000-00000D000000}"/>
  </cellStyles>
  <dxfs count="0"/>
  <tableStyles count="0" defaultTableStyle="TableStyleMedium9" defaultPivotStyle="PivotStyleLight16"/>
  <colors>
    <mruColors>
      <color rgb="FFCCFFCC"/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gif"/><Relationship Id="rId1" Type="http://schemas.openxmlformats.org/officeDocument/2006/relationships/hyperlink" Target="http://creativecommons.org/licenses/by/2.0/kr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creativecommons.org/licenses/by/2.0/kr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creativecommons.org/licenses/by/2.0/k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0</xdr:col>
      <xdr:colOff>133350</xdr:colOff>
      <xdr:row>51</xdr:row>
      <xdr:rowOff>133350</xdr:rowOff>
    </xdr:to>
    <xdr:pic>
      <xdr:nvPicPr>
        <xdr:cNvPr id="1026" name="Picture 2" descr="저작자 표시">
          <a:hlinkClick xmlns:r="http://schemas.openxmlformats.org/officeDocument/2006/relationships" r:id="rId1" tgtFrame="_new"/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915900"/>
          <a:ext cx="1333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51</xdr:row>
      <xdr:rowOff>0</xdr:rowOff>
    </xdr:from>
    <xdr:to>
      <xdr:col>0</xdr:col>
      <xdr:colOff>276225</xdr:colOff>
      <xdr:row>51</xdr:row>
      <xdr:rowOff>133350</xdr:rowOff>
    </xdr:to>
    <xdr:pic>
      <xdr:nvPicPr>
        <xdr:cNvPr id="1027" name="Picture 3" descr="컨텐츠변경">
          <a:hlinkClick xmlns:r="http://schemas.openxmlformats.org/officeDocument/2006/relationships" r:id="rId1" tgtFrame="_new"/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875" y="12915900"/>
          <a:ext cx="1333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51</xdr:row>
      <xdr:rowOff>0</xdr:rowOff>
    </xdr:from>
    <xdr:to>
      <xdr:col>0</xdr:col>
      <xdr:colOff>419100</xdr:colOff>
      <xdr:row>51</xdr:row>
      <xdr:rowOff>133350</xdr:rowOff>
    </xdr:to>
    <xdr:pic>
      <xdr:nvPicPr>
        <xdr:cNvPr id="1028" name="Picture 4" descr="비영리">
          <a:hlinkClick xmlns:r="http://schemas.openxmlformats.org/officeDocument/2006/relationships" r:id="rId1" tgtFrame="_new"/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2915900"/>
          <a:ext cx="1333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104775</xdr:colOff>
      <xdr:row>51</xdr:row>
      <xdr:rowOff>123825</xdr:rowOff>
    </xdr:to>
    <xdr:pic>
      <xdr:nvPicPr>
        <xdr:cNvPr id="1030" name="Picture 6" descr="추천하기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3963650"/>
          <a:ext cx="104775" cy="123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660400</xdr:colOff>
      <xdr:row>55</xdr:row>
      <xdr:rowOff>95250</xdr:rowOff>
    </xdr:to>
    <xdr:pic>
      <xdr:nvPicPr>
        <xdr:cNvPr id="2" name="그림 1" descr="선발전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004800" cy="11620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133350</xdr:colOff>
      <xdr:row>26</xdr:row>
      <xdr:rowOff>29718</xdr:rowOff>
    </xdr:to>
    <xdr:pic>
      <xdr:nvPicPr>
        <xdr:cNvPr id="2" name="Picture 2" descr="저작자 표시">
          <a:hlinkClick xmlns:r="http://schemas.openxmlformats.org/officeDocument/2006/relationships" r:id="rId1" tgtFrame="_new"/>
          <a:extLst>
            <a:ext uri="{FF2B5EF4-FFF2-40B4-BE49-F238E27FC236}">
              <a16:creationId xmlns:a16="http://schemas.microsoft.com/office/drawing/2014/main" id="{2A8B5516-713C-49A1-82F8-571D6BE3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5610225"/>
          <a:ext cx="133350" cy="297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26</xdr:row>
      <xdr:rowOff>0</xdr:rowOff>
    </xdr:from>
    <xdr:to>
      <xdr:col>0</xdr:col>
      <xdr:colOff>303657</xdr:colOff>
      <xdr:row>26</xdr:row>
      <xdr:rowOff>29718</xdr:rowOff>
    </xdr:to>
    <xdr:pic>
      <xdr:nvPicPr>
        <xdr:cNvPr id="3" name="Picture 3" descr="컨텐츠변경">
          <a:hlinkClick xmlns:r="http://schemas.openxmlformats.org/officeDocument/2006/relationships" r:id="rId1" tgtFrame="_new"/>
          <a:extLst>
            <a:ext uri="{FF2B5EF4-FFF2-40B4-BE49-F238E27FC236}">
              <a16:creationId xmlns:a16="http://schemas.microsoft.com/office/drawing/2014/main" id="{97BD4301-FCD7-4424-AC60-7995282E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5275" y="5610225"/>
          <a:ext cx="160782" cy="297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26</xdr:row>
      <xdr:rowOff>0</xdr:rowOff>
    </xdr:from>
    <xdr:to>
      <xdr:col>0</xdr:col>
      <xdr:colOff>461772</xdr:colOff>
      <xdr:row>26</xdr:row>
      <xdr:rowOff>29718</xdr:rowOff>
    </xdr:to>
    <xdr:pic>
      <xdr:nvPicPr>
        <xdr:cNvPr id="4" name="Picture 4" descr="비영리">
          <a:hlinkClick xmlns:r="http://schemas.openxmlformats.org/officeDocument/2006/relationships" r:id="rId1" tgtFrame="_new"/>
          <a:extLst>
            <a:ext uri="{FF2B5EF4-FFF2-40B4-BE49-F238E27FC236}">
              <a16:creationId xmlns:a16="http://schemas.microsoft.com/office/drawing/2014/main" id="{82F4CE23-CFE8-4455-A54B-4ED99BD3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" y="5610225"/>
          <a:ext cx="176022" cy="2971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29718</xdr:rowOff>
    </xdr:to>
    <xdr:pic>
      <xdr:nvPicPr>
        <xdr:cNvPr id="2" name="Picture 2" descr="저작자 표시">
          <a:hlinkClick xmlns:r="http://schemas.openxmlformats.org/officeDocument/2006/relationships" r:id="rId1" tgtFrame="_new"/>
          <a:extLst>
            <a:ext uri="{FF2B5EF4-FFF2-40B4-BE49-F238E27FC236}">
              <a16:creationId xmlns:a16="http://schemas.microsoft.com/office/drawing/2014/main" id="{42AD6BBE-FF04-4E31-9BD9-F21D7DFC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6410325"/>
          <a:ext cx="133350" cy="297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54</xdr:row>
      <xdr:rowOff>0</xdr:rowOff>
    </xdr:from>
    <xdr:to>
      <xdr:col>1</xdr:col>
      <xdr:colOff>303657</xdr:colOff>
      <xdr:row>54</xdr:row>
      <xdr:rowOff>29718</xdr:rowOff>
    </xdr:to>
    <xdr:pic>
      <xdr:nvPicPr>
        <xdr:cNvPr id="3" name="Picture 3" descr="컨텐츠변경">
          <a:hlinkClick xmlns:r="http://schemas.openxmlformats.org/officeDocument/2006/relationships" r:id="rId1" tgtFrame="_new"/>
          <a:extLst>
            <a:ext uri="{FF2B5EF4-FFF2-40B4-BE49-F238E27FC236}">
              <a16:creationId xmlns:a16="http://schemas.microsoft.com/office/drawing/2014/main" id="{6F9C09DB-0322-4C23-8A5E-84154989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5275" y="6410325"/>
          <a:ext cx="160782" cy="297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54</xdr:row>
      <xdr:rowOff>0</xdr:rowOff>
    </xdr:from>
    <xdr:to>
      <xdr:col>1</xdr:col>
      <xdr:colOff>461772</xdr:colOff>
      <xdr:row>54</xdr:row>
      <xdr:rowOff>29718</xdr:rowOff>
    </xdr:to>
    <xdr:pic>
      <xdr:nvPicPr>
        <xdr:cNvPr id="4" name="Picture 4" descr="비영리">
          <a:hlinkClick xmlns:r="http://schemas.openxmlformats.org/officeDocument/2006/relationships" r:id="rId1" tgtFrame="_new"/>
          <a:extLst>
            <a:ext uri="{FF2B5EF4-FFF2-40B4-BE49-F238E27FC236}">
              <a16:creationId xmlns:a16="http://schemas.microsoft.com/office/drawing/2014/main" id="{9A287F51-0EF7-4BF5-9328-248DCC43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" y="6410325"/>
          <a:ext cx="176022" cy="297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P40"/>
  <sheetViews>
    <sheetView showGridLines="0" zoomScale="86" zoomScaleNormal="86" workbookViewId="0">
      <selection activeCell="G25" sqref="G25"/>
    </sheetView>
  </sheetViews>
  <sheetFormatPr defaultRowHeight="16.5"/>
  <cols>
    <col min="1" max="1" width="3.75" customWidth="1"/>
    <col min="2" max="2" width="11" style="107" customWidth="1"/>
    <col min="3" max="4" width="5.375" style="107" customWidth="1"/>
    <col min="5" max="5" width="8.625" style="97" customWidth="1"/>
    <col min="6" max="6" width="7.25" style="97" customWidth="1"/>
    <col min="7" max="7" width="17" style="97" customWidth="1"/>
    <col min="8" max="8" width="10" style="141" customWidth="1"/>
    <col min="9" max="9" width="60" style="142" customWidth="1"/>
    <col min="10" max="10" width="6" style="97" customWidth="1"/>
    <col min="11" max="11" width="8.75" style="97" customWidth="1"/>
    <col min="12" max="12" width="11" style="97" customWidth="1"/>
    <col min="13" max="13" width="17.375" style="97" bestFit="1" customWidth="1"/>
    <col min="14" max="14" width="14.125" style="97" customWidth="1"/>
    <col min="15" max="15" width="3.875" customWidth="1"/>
  </cols>
  <sheetData>
    <row r="2" spans="2:16" ht="39" customHeight="1" thickBot="1">
      <c r="B2" s="452" t="s">
        <v>96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2:16" s="111" customFormat="1" ht="30" customHeight="1" thickBot="1">
      <c r="B3" s="453" t="s">
        <v>97</v>
      </c>
      <c r="C3" s="454"/>
      <c r="D3" s="454"/>
      <c r="E3" s="190" t="s">
        <v>98</v>
      </c>
      <c r="F3" s="190" t="s">
        <v>99</v>
      </c>
      <c r="G3" s="190" t="s">
        <v>100</v>
      </c>
      <c r="H3" s="108" t="s">
        <v>101</v>
      </c>
      <c r="I3" s="109" t="s">
        <v>102</v>
      </c>
      <c r="J3" s="455" t="s">
        <v>103</v>
      </c>
      <c r="K3" s="456"/>
      <c r="L3" s="110" t="s">
        <v>104</v>
      </c>
      <c r="M3" s="190" t="s">
        <v>105</v>
      </c>
      <c r="N3" s="182" t="s">
        <v>106</v>
      </c>
    </row>
    <row r="4" spans="2:16" s="8" customFormat="1" ht="22.5" customHeight="1" thickTop="1" thickBot="1">
      <c r="B4" s="171" t="s">
        <v>107</v>
      </c>
      <c r="C4" s="172">
        <v>0</v>
      </c>
      <c r="D4" s="172" t="s">
        <v>108</v>
      </c>
      <c r="E4" s="173" t="s">
        <v>109</v>
      </c>
      <c r="F4" s="173">
        <v>47</v>
      </c>
      <c r="G4" s="173" t="s">
        <v>110</v>
      </c>
      <c r="H4" s="174">
        <v>700323</v>
      </c>
      <c r="I4" s="175" t="s">
        <v>111</v>
      </c>
      <c r="J4" s="176"/>
      <c r="K4" s="177"/>
      <c r="L4" s="178" t="s">
        <v>112</v>
      </c>
      <c r="M4" s="173"/>
      <c r="N4" s="183"/>
    </row>
    <row r="5" spans="2:16" s="8" customFormat="1" ht="22.5" customHeight="1">
      <c r="B5" s="449" t="s">
        <v>113</v>
      </c>
      <c r="C5" s="164">
        <v>1</v>
      </c>
      <c r="D5" s="164" t="s">
        <v>108</v>
      </c>
      <c r="E5" s="165" t="s">
        <v>114</v>
      </c>
      <c r="F5" s="165">
        <v>31</v>
      </c>
      <c r="G5" s="165" t="s">
        <v>115</v>
      </c>
      <c r="H5" s="166" t="s">
        <v>116</v>
      </c>
      <c r="I5" s="167" t="s">
        <v>117</v>
      </c>
      <c r="J5" s="168"/>
      <c r="K5" s="169"/>
      <c r="L5" s="170" t="s">
        <v>118</v>
      </c>
      <c r="M5" s="165"/>
      <c r="N5" s="184"/>
      <c r="P5" s="112"/>
    </row>
    <row r="6" spans="2:16" s="8" customFormat="1" ht="22.5" customHeight="1">
      <c r="B6" s="450"/>
      <c r="C6" s="124">
        <v>2</v>
      </c>
      <c r="D6" s="124" t="s">
        <v>108</v>
      </c>
      <c r="E6" s="125" t="s">
        <v>119</v>
      </c>
      <c r="F6" s="125">
        <v>27</v>
      </c>
      <c r="G6" s="125" t="s">
        <v>120</v>
      </c>
      <c r="H6" s="126" t="s">
        <v>121</v>
      </c>
      <c r="I6" s="127" t="s">
        <v>122</v>
      </c>
      <c r="J6" s="128" t="s">
        <v>123</v>
      </c>
      <c r="K6" s="129" t="s">
        <v>124</v>
      </c>
      <c r="L6" s="130" t="s">
        <v>125</v>
      </c>
      <c r="M6" s="125"/>
      <c r="N6" s="185">
        <v>1418258</v>
      </c>
    </row>
    <row r="7" spans="2:16" s="8" customFormat="1" ht="22.5" customHeight="1">
      <c r="B7" s="450"/>
      <c r="C7" s="99">
        <v>3</v>
      </c>
      <c r="D7" s="99" t="s">
        <v>108</v>
      </c>
      <c r="E7" s="113" t="s">
        <v>126</v>
      </c>
      <c r="F7" s="113">
        <v>57</v>
      </c>
      <c r="G7" s="113" t="s">
        <v>127</v>
      </c>
      <c r="H7" s="114" t="s">
        <v>128</v>
      </c>
      <c r="I7" s="115"/>
      <c r="J7" s="100"/>
      <c r="K7" s="101"/>
      <c r="L7" s="116" t="s">
        <v>129</v>
      </c>
      <c r="M7" s="113"/>
      <c r="N7" s="188">
        <v>9102557</v>
      </c>
    </row>
    <row r="8" spans="2:16" s="8" customFormat="1" ht="22.5" customHeight="1">
      <c r="B8" s="450"/>
      <c r="C8" s="117">
        <v>4</v>
      </c>
      <c r="D8" s="117" t="s">
        <v>108</v>
      </c>
      <c r="E8" s="118" t="s">
        <v>130</v>
      </c>
      <c r="F8" s="118">
        <v>70</v>
      </c>
      <c r="G8" s="118" t="s">
        <v>131</v>
      </c>
      <c r="H8" s="119" t="s">
        <v>132</v>
      </c>
      <c r="I8" s="120"/>
      <c r="J8" s="121"/>
      <c r="K8" s="122"/>
      <c r="L8" s="123" t="s">
        <v>129</v>
      </c>
      <c r="M8" s="118"/>
      <c r="N8" s="186">
        <v>9102552</v>
      </c>
    </row>
    <row r="9" spans="2:16" s="8" customFormat="1" ht="22.5" customHeight="1">
      <c r="B9" s="450"/>
      <c r="C9" s="99">
        <v>5</v>
      </c>
      <c r="D9" s="99" t="s">
        <v>133</v>
      </c>
      <c r="E9" s="113" t="s">
        <v>134</v>
      </c>
      <c r="F9" s="113">
        <v>39</v>
      </c>
      <c r="G9" s="113" t="s">
        <v>135</v>
      </c>
      <c r="H9" s="114" t="s">
        <v>136</v>
      </c>
      <c r="I9" s="115" t="s">
        <v>137</v>
      </c>
      <c r="J9" s="100"/>
      <c r="K9" s="101"/>
      <c r="L9" s="116" t="s">
        <v>112</v>
      </c>
      <c r="M9" s="113"/>
      <c r="N9" s="188">
        <v>1418260</v>
      </c>
    </row>
    <row r="10" spans="2:16" s="8" customFormat="1" ht="22.5" customHeight="1">
      <c r="B10" s="450"/>
      <c r="C10" s="124">
        <v>6</v>
      </c>
      <c r="D10" s="124" t="s">
        <v>133</v>
      </c>
      <c r="E10" s="125" t="s">
        <v>138</v>
      </c>
      <c r="F10" s="125">
        <v>35</v>
      </c>
      <c r="G10" s="125" t="s">
        <v>139</v>
      </c>
      <c r="H10" s="126" t="s">
        <v>140</v>
      </c>
      <c r="I10" s="127" t="s">
        <v>141</v>
      </c>
      <c r="J10" s="128"/>
      <c r="K10" s="129"/>
      <c r="L10" s="130" t="s">
        <v>118</v>
      </c>
      <c r="M10" s="125"/>
      <c r="N10" s="185">
        <v>9200174</v>
      </c>
    </row>
    <row r="11" spans="2:16" s="8" customFormat="1" ht="22.5" customHeight="1" thickBot="1">
      <c r="B11" s="451"/>
      <c r="C11" s="102">
        <v>7</v>
      </c>
      <c r="D11" s="102" t="s">
        <v>133</v>
      </c>
      <c r="E11" s="132" t="s">
        <v>142</v>
      </c>
      <c r="F11" s="132">
        <v>29</v>
      </c>
      <c r="G11" s="132" t="s">
        <v>143</v>
      </c>
      <c r="H11" s="133" t="s">
        <v>144</v>
      </c>
      <c r="I11" s="134" t="s">
        <v>145</v>
      </c>
      <c r="J11" s="103"/>
      <c r="K11" s="104"/>
      <c r="L11" s="135" t="s">
        <v>112</v>
      </c>
      <c r="M11" s="132"/>
      <c r="N11" s="187">
        <v>1417228</v>
      </c>
    </row>
    <row r="12" spans="2:16" s="8" customFormat="1" ht="22.5" customHeight="1">
      <c r="B12" s="449" t="s">
        <v>146</v>
      </c>
      <c r="C12" s="164">
        <v>8</v>
      </c>
      <c r="D12" s="164" t="s">
        <v>108</v>
      </c>
      <c r="E12" s="165" t="s">
        <v>147</v>
      </c>
      <c r="F12" s="165">
        <v>20</v>
      </c>
      <c r="G12" s="165" t="s">
        <v>148</v>
      </c>
      <c r="H12" s="166" t="s">
        <v>149</v>
      </c>
      <c r="I12" s="167" t="s">
        <v>150</v>
      </c>
      <c r="J12" s="168" t="s">
        <v>123</v>
      </c>
      <c r="K12" s="169" t="s">
        <v>151</v>
      </c>
      <c r="L12" s="170" t="s">
        <v>129</v>
      </c>
      <c r="M12" s="165"/>
      <c r="N12" s="184"/>
    </row>
    <row r="13" spans="2:16" s="8" customFormat="1" ht="22.5" customHeight="1">
      <c r="B13" s="450"/>
      <c r="C13" s="213">
        <v>9</v>
      </c>
      <c r="D13" s="213" t="s">
        <v>108</v>
      </c>
      <c r="E13" s="181" t="s">
        <v>94</v>
      </c>
      <c r="F13" s="181" t="s">
        <v>152</v>
      </c>
      <c r="G13" s="181" t="s">
        <v>153</v>
      </c>
      <c r="H13" s="181" t="s">
        <v>154</v>
      </c>
      <c r="I13" s="214"/>
      <c r="J13" s="215"/>
      <c r="K13" s="216"/>
      <c r="L13" s="181" t="s">
        <v>155</v>
      </c>
      <c r="M13" s="181" t="s">
        <v>156</v>
      </c>
      <c r="N13" s="225"/>
    </row>
    <row r="14" spans="2:16" s="8" customFormat="1" ht="22.5" customHeight="1" thickBot="1">
      <c r="B14" s="451"/>
      <c r="C14" s="102">
        <v>10</v>
      </c>
      <c r="D14" s="102" t="s">
        <v>157</v>
      </c>
      <c r="E14" s="132" t="s">
        <v>158</v>
      </c>
      <c r="F14" s="132">
        <v>21</v>
      </c>
      <c r="G14" s="149" t="s">
        <v>159</v>
      </c>
      <c r="H14" s="150" t="s">
        <v>160</v>
      </c>
      <c r="I14" s="151" t="s">
        <v>85</v>
      </c>
      <c r="J14" s="152"/>
      <c r="K14" s="179"/>
      <c r="L14" s="153" t="s">
        <v>161</v>
      </c>
      <c r="M14" s="132"/>
      <c r="N14" s="187">
        <v>1417235</v>
      </c>
    </row>
    <row r="15" spans="2:16" s="8" customFormat="1" ht="22.5" customHeight="1">
      <c r="B15" s="197"/>
      <c r="C15" s="205">
        <v>11</v>
      </c>
      <c r="D15" s="205" t="s">
        <v>162</v>
      </c>
      <c r="E15" s="206" t="s">
        <v>163</v>
      </c>
      <c r="F15" s="206" t="s">
        <v>164</v>
      </c>
      <c r="G15" s="206" t="s">
        <v>165</v>
      </c>
      <c r="H15" s="207" t="s">
        <v>166</v>
      </c>
      <c r="I15" s="208"/>
      <c r="J15" s="209" t="s">
        <v>167</v>
      </c>
      <c r="K15" s="210" t="s">
        <v>168</v>
      </c>
      <c r="L15" s="211" t="s">
        <v>169</v>
      </c>
      <c r="M15" s="206"/>
      <c r="N15" s="212">
        <v>9102559</v>
      </c>
    </row>
    <row r="16" spans="2:16" s="8" customFormat="1" ht="22.5" customHeight="1">
      <c r="B16" s="196" t="s">
        <v>15</v>
      </c>
      <c r="C16" s="99">
        <v>12</v>
      </c>
      <c r="D16" s="99" t="s">
        <v>181</v>
      </c>
      <c r="E16" s="113" t="s">
        <v>182</v>
      </c>
      <c r="F16" s="113" t="s">
        <v>183</v>
      </c>
      <c r="G16" s="113" t="s">
        <v>184</v>
      </c>
      <c r="H16" s="114" t="s">
        <v>185</v>
      </c>
      <c r="I16" s="115" t="s">
        <v>186</v>
      </c>
      <c r="J16" s="100" t="s">
        <v>187</v>
      </c>
      <c r="K16" s="101" t="s">
        <v>188</v>
      </c>
      <c r="L16" s="116" t="s">
        <v>189</v>
      </c>
      <c r="M16" s="113"/>
      <c r="N16" s="188"/>
    </row>
    <row r="17" spans="2:14" s="8" customFormat="1" ht="22.5" customHeight="1" thickBot="1">
      <c r="B17" s="199"/>
      <c r="C17" s="217">
        <v>13</v>
      </c>
      <c r="D17" s="218" t="s">
        <v>157</v>
      </c>
      <c r="E17" s="191" t="s">
        <v>190</v>
      </c>
      <c r="F17" s="191" t="s">
        <v>171</v>
      </c>
      <c r="G17" s="191" t="s">
        <v>191</v>
      </c>
      <c r="H17" s="219" t="s">
        <v>192</v>
      </c>
      <c r="I17" s="220" t="s">
        <v>86</v>
      </c>
      <c r="J17" s="221" t="s">
        <v>167</v>
      </c>
      <c r="K17" s="222" t="s">
        <v>193</v>
      </c>
      <c r="L17" s="223" t="s">
        <v>161</v>
      </c>
      <c r="M17" s="191" t="s">
        <v>156</v>
      </c>
      <c r="N17" s="224"/>
    </row>
    <row r="18" spans="2:14" s="8" customFormat="1" ht="22.5" customHeight="1">
      <c r="B18" s="197" t="s">
        <v>194</v>
      </c>
      <c r="C18" s="164">
        <v>14</v>
      </c>
      <c r="D18" s="164" t="s">
        <v>162</v>
      </c>
      <c r="E18" s="165" t="s">
        <v>195</v>
      </c>
      <c r="F18" s="165" t="s">
        <v>196</v>
      </c>
      <c r="G18" s="165" t="s">
        <v>197</v>
      </c>
      <c r="H18" s="166" t="s">
        <v>198</v>
      </c>
      <c r="I18" s="167" t="s">
        <v>199</v>
      </c>
      <c r="J18" s="168" t="s">
        <v>167</v>
      </c>
      <c r="K18" s="169" t="s">
        <v>200</v>
      </c>
      <c r="L18" s="170" t="s">
        <v>161</v>
      </c>
      <c r="M18" s="165"/>
      <c r="N18" s="184">
        <v>1417231</v>
      </c>
    </row>
    <row r="19" spans="2:14" s="8" customFormat="1" ht="22.5" customHeight="1">
      <c r="B19" s="198"/>
      <c r="C19" s="124">
        <v>15</v>
      </c>
      <c r="D19" s="124" t="s">
        <v>162</v>
      </c>
      <c r="E19" s="125" t="s">
        <v>201</v>
      </c>
      <c r="F19" s="125" t="s">
        <v>196</v>
      </c>
      <c r="G19" s="125" t="s">
        <v>87</v>
      </c>
      <c r="H19" s="126" t="s">
        <v>202</v>
      </c>
      <c r="I19" s="127" t="s">
        <v>88</v>
      </c>
      <c r="J19" s="128" t="s">
        <v>187</v>
      </c>
      <c r="K19" s="129" t="s">
        <v>203</v>
      </c>
      <c r="L19" s="130" t="s">
        <v>161</v>
      </c>
      <c r="M19" s="125"/>
      <c r="N19" s="185"/>
    </row>
    <row r="20" spans="2:14" s="8" customFormat="1" ht="22.5" customHeight="1">
      <c r="B20" s="198"/>
      <c r="C20" s="226">
        <v>16</v>
      </c>
      <c r="D20" s="226" t="s">
        <v>162</v>
      </c>
      <c r="E20" s="192" t="s">
        <v>210</v>
      </c>
      <c r="F20" s="192" t="s">
        <v>205</v>
      </c>
      <c r="G20" s="192" t="s">
        <v>191</v>
      </c>
      <c r="H20" s="227" t="s">
        <v>211</v>
      </c>
      <c r="I20" s="228" t="s">
        <v>212</v>
      </c>
      <c r="J20" s="229" t="s">
        <v>167</v>
      </c>
      <c r="K20" s="230" t="s">
        <v>193</v>
      </c>
      <c r="L20" s="231" t="s">
        <v>161</v>
      </c>
      <c r="M20" s="192" t="s">
        <v>156</v>
      </c>
      <c r="N20" s="232"/>
    </row>
    <row r="21" spans="2:14" s="8" customFormat="1" ht="22.5" customHeight="1">
      <c r="B21" s="198"/>
      <c r="C21" s="124">
        <v>17</v>
      </c>
      <c r="D21" s="124" t="s">
        <v>162</v>
      </c>
      <c r="E21" s="125" t="s">
        <v>204</v>
      </c>
      <c r="F21" s="125" t="s">
        <v>205</v>
      </c>
      <c r="G21" s="125" t="s">
        <v>206</v>
      </c>
      <c r="H21" s="126" t="s">
        <v>207</v>
      </c>
      <c r="I21" s="127" t="s">
        <v>208</v>
      </c>
      <c r="J21" s="128" t="s">
        <v>167</v>
      </c>
      <c r="K21" s="129" t="s">
        <v>209</v>
      </c>
      <c r="L21" s="130" t="s">
        <v>161</v>
      </c>
      <c r="M21" s="125"/>
      <c r="N21" s="185"/>
    </row>
    <row r="22" spans="2:14" s="8" customFormat="1" ht="22.5" customHeight="1">
      <c r="B22" s="198"/>
      <c r="C22" s="117">
        <v>18</v>
      </c>
      <c r="D22" s="117" t="s">
        <v>162</v>
      </c>
      <c r="E22" s="118" t="s">
        <v>213</v>
      </c>
      <c r="F22" s="118" t="s">
        <v>205</v>
      </c>
      <c r="G22" s="118" t="s">
        <v>214</v>
      </c>
      <c r="H22" s="119" t="s">
        <v>215</v>
      </c>
      <c r="I22" s="148" t="s">
        <v>216</v>
      </c>
      <c r="J22" s="121" t="s">
        <v>167</v>
      </c>
      <c r="K22" s="122" t="s">
        <v>217</v>
      </c>
      <c r="L22" s="123" t="s">
        <v>161</v>
      </c>
      <c r="M22" s="118"/>
      <c r="N22" s="186"/>
    </row>
    <row r="23" spans="2:14" s="8" customFormat="1" ht="22.5" customHeight="1">
      <c r="B23" s="198"/>
      <c r="C23" s="99">
        <v>19</v>
      </c>
      <c r="D23" s="99" t="s">
        <v>157</v>
      </c>
      <c r="E23" s="113" t="s">
        <v>218</v>
      </c>
      <c r="F23" s="113" t="s">
        <v>196</v>
      </c>
      <c r="G23" s="113" t="s">
        <v>89</v>
      </c>
      <c r="H23" s="114" t="s">
        <v>219</v>
      </c>
      <c r="I23" s="115" t="s">
        <v>90</v>
      </c>
      <c r="J23" s="100" t="s">
        <v>91</v>
      </c>
      <c r="K23" s="101" t="s">
        <v>92</v>
      </c>
      <c r="L23" s="116" t="s">
        <v>189</v>
      </c>
      <c r="M23" s="113"/>
      <c r="N23" s="188"/>
    </row>
    <row r="24" spans="2:14" s="8" customFormat="1" ht="22.5" customHeight="1">
      <c r="B24" s="198"/>
      <c r="C24" s="124">
        <v>20</v>
      </c>
      <c r="D24" s="124" t="s">
        <v>157</v>
      </c>
      <c r="E24" s="125" t="s">
        <v>220</v>
      </c>
      <c r="F24" s="125" t="s">
        <v>196</v>
      </c>
      <c r="G24" s="125" t="s">
        <v>89</v>
      </c>
      <c r="H24" s="126" t="s">
        <v>219</v>
      </c>
      <c r="I24" s="127" t="s">
        <v>90</v>
      </c>
      <c r="J24" s="128" t="s">
        <v>91</v>
      </c>
      <c r="K24" s="129" t="s">
        <v>92</v>
      </c>
      <c r="L24" s="130" t="s">
        <v>189</v>
      </c>
      <c r="M24" s="125"/>
      <c r="N24" s="185"/>
    </row>
    <row r="25" spans="2:14" s="8" customFormat="1" ht="22.5" customHeight="1">
      <c r="B25" s="198"/>
      <c r="C25" s="124">
        <v>21</v>
      </c>
      <c r="D25" s="124" t="s">
        <v>157</v>
      </c>
      <c r="E25" s="125" t="s">
        <v>221</v>
      </c>
      <c r="F25" s="125" t="s">
        <v>196</v>
      </c>
      <c r="G25" s="125" t="s">
        <v>222</v>
      </c>
      <c r="H25" s="126" t="s">
        <v>223</v>
      </c>
      <c r="I25" s="127"/>
      <c r="J25" s="128" t="s">
        <v>187</v>
      </c>
      <c r="K25" s="129" t="s">
        <v>224</v>
      </c>
      <c r="L25" s="130" t="s">
        <v>161</v>
      </c>
      <c r="M25" s="125"/>
      <c r="N25" s="185">
        <v>1417237</v>
      </c>
    </row>
    <row r="26" spans="2:14" s="8" customFormat="1" ht="22.5" customHeight="1">
      <c r="B26" s="198"/>
      <c r="C26" s="124">
        <v>22</v>
      </c>
      <c r="D26" s="124" t="s">
        <v>157</v>
      </c>
      <c r="E26" s="125" t="s">
        <v>225</v>
      </c>
      <c r="F26" s="125" t="s">
        <v>205</v>
      </c>
      <c r="G26" s="125" t="s">
        <v>226</v>
      </c>
      <c r="H26" s="126" t="s">
        <v>227</v>
      </c>
      <c r="I26" s="127"/>
      <c r="J26" s="128" t="s">
        <v>167</v>
      </c>
      <c r="K26" s="129" t="s">
        <v>228</v>
      </c>
      <c r="L26" s="130" t="s">
        <v>229</v>
      </c>
      <c r="M26" s="125"/>
      <c r="N26" s="185"/>
    </row>
    <row r="27" spans="2:14" s="8" customFormat="1" ht="22.5" customHeight="1">
      <c r="B27" s="198"/>
      <c r="C27" s="124">
        <v>23</v>
      </c>
      <c r="D27" s="124" t="s">
        <v>157</v>
      </c>
      <c r="E27" s="125" t="s">
        <v>230</v>
      </c>
      <c r="F27" s="125" t="s">
        <v>205</v>
      </c>
      <c r="G27" s="125" t="s">
        <v>231</v>
      </c>
      <c r="H27" s="126" t="s">
        <v>232</v>
      </c>
      <c r="I27" s="127" t="s">
        <v>93</v>
      </c>
      <c r="J27" s="128" t="s">
        <v>167</v>
      </c>
      <c r="K27" s="129" t="s">
        <v>233</v>
      </c>
      <c r="L27" s="130" t="s">
        <v>161</v>
      </c>
      <c r="M27" s="125"/>
      <c r="N27" s="185">
        <v>1417240</v>
      </c>
    </row>
    <row r="28" spans="2:14" s="8" customFormat="1" ht="22.5" customHeight="1" thickBot="1">
      <c r="B28" s="199"/>
      <c r="C28" s="154">
        <v>24</v>
      </c>
      <c r="D28" s="154" t="s">
        <v>157</v>
      </c>
      <c r="E28" s="155" t="s">
        <v>234</v>
      </c>
      <c r="F28" s="155" t="s">
        <v>205</v>
      </c>
      <c r="G28" s="155" t="s">
        <v>87</v>
      </c>
      <c r="H28" s="156" t="s">
        <v>235</v>
      </c>
      <c r="I28" s="157" t="s">
        <v>236</v>
      </c>
      <c r="J28" s="158" t="s">
        <v>187</v>
      </c>
      <c r="K28" s="159" t="s">
        <v>203</v>
      </c>
      <c r="L28" s="160" t="s">
        <v>161</v>
      </c>
      <c r="M28" s="155"/>
      <c r="N28" s="189"/>
    </row>
    <row r="29" spans="2:14" s="8" customFormat="1" ht="22.5" customHeight="1">
      <c r="B29" s="449" t="s">
        <v>237</v>
      </c>
      <c r="C29" s="164">
        <v>25</v>
      </c>
      <c r="D29" s="164" t="s">
        <v>162</v>
      </c>
      <c r="E29" s="165" t="s">
        <v>238</v>
      </c>
      <c r="F29" s="165" t="s">
        <v>239</v>
      </c>
      <c r="G29" s="165" t="s">
        <v>197</v>
      </c>
      <c r="H29" s="166" t="s">
        <v>240</v>
      </c>
      <c r="I29" s="167" t="s">
        <v>199</v>
      </c>
      <c r="J29" s="168" t="s">
        <v>167</v>
      </c>
      <c r="K29" s="169" t="s">
        <v>200</v>
      </c>
      <c r="L29" s="170" t="s">
        <v>161</v>
      </c>
      <c r="M29" s="165"/>
      <c r="N29" s="184">
        <v>1417234</v>
      </c>
    </row>
    <row r="30" spans="2:14" s="8" customFormat="1" ht="22.5" customHeight="1">
      <c r="B30" s="450"/>
      <c r="C30" s="161">
        <v>26</v>
      </c>
      <c r="D30" s="161" t="s">
        <v>162</v>
      </c>
      <c r="E30" s="162" t="s">
        <v>242</v>
      </c>
      <c r="F30" s="162" t="s">
        <v>243</v>
      </c>
      <c r="G30" s="162" t="s">
        <v>214</v>
      </c>
      <c r="H30" s="163" t="s">
        <v>244</v>
      </c>
      <c r="I30" s="131" t="s">
        <v>216</v>
      </c>
      <c r="J30" s="128"/>
      <c r="K30" s="129" t="s">
        <v>217</v>
      </c>
      <c r="L30" s="130" t="s">
        <v>161</v>
      </c>
      <c r="M30" s="125"/>
      <c r="N30" s="185"/>
    </row>
    <row r="31" spans="2:14" s="8" customFormat="1" ht="22.5" customHeight="1">
      <c r="B31" s="450"/>
      <c r="C31" s="117">
        <v>27</v>
      </c>
      <c r="D31" s="117" t="s">
        <v>162</v>
      </c>
      <c r="E31" s="118" t="s">
        <v>245</v>
      </c>
      <c r="F31" s="118" t="s">
        <v>239</v>
      </c>
      <c r="G31" s="118" t="s">
        <v>246</v>
      </c>
      <c r="H31" s="119" t="s">
        <v>253</v>
      </c>
      <c r="I31" s="120" t="s">
        <v>256</v>
      </c>
      <c r="J31" s="121" t="s">
        <v>187</v>
      </c>
      <c r="K31" s="122" t="s">
        <v>247</v>
      </c>
      <c r="L31" s="123" t="s">
        <v>189</v>
      </c>
      <c r="M31" s="118"/>
      <c r="N31" s="186"/>
    </row>
    <row r="32" spans="2:14" s="8" customFormat="1" ht="22.5" customHeight="1">
      <c r="B32" s="450"/>
      <c r="C32" s="99">
        <v>28</v>
      </c>
      <c r="D32" s="99" t="s">
        <v>157</v>
      </c>
      <c r="E32" s="113" t="s">
        <v>248</v>
      </c>
      <c r="F32" s="113" t="s">
        <v>239</v>
      </c>
      <c r="G32" s="113" t="s">
        <v>214</v>
      </c>
      <c r="H32" s="114" t="s">
        <v>249</v>
      </c>
      <c r="I32" s="180" t="s">
        <v>216</v>
      </c>
      <c r="J32" s="100" t="s">
        <v>167</v>
      </c>
      <c r="K32" s="101" t="s">
        <v>217</v>
      </c>
      <c r="L32" s="116" t="s">
        <v>161</v>
      </c>
      <c r="M32" s="113"/>
      <c r="N32" s="188"/>
    </row>
    <row r="33" spans="2:14" s="8" customFormat="1" ht="22.5" customHeight="1" thickBot="1">
      <c r="B33" s="451"/>
      <c r="C33" s="102">
        <v>29</v>
      </c>
      <c r="D33" s="102" t="s">
        <v>157</v>
      </c>
      <c r="E33" s="132" t="s">
        <v>250</v>
      </c>
      <c r="F33" s="132" t="s">
        <v>241</v>
      </c>
      <c r="G33" s="132" t="s">
        <v>251</v>
      </c>
      <c r="H33" s="133" t="s">
        <v>252</v>
      </c>
      <c r="I33" s="134" t="s">
        <v>88</v>
      </c>
      <c r="J33" s="103" t="s">
        <v>187</v>
      </c>
      <c r="K33" s="104" t="s">
        <v>203</v>
      </c>
      <c r="L33" s="135" t="s">
        <v>161</v>
      </c>
      <c r="M33" s="155"/>
      <c r="N33" s="189"/>
    </row>
    <row r="34" spans="2:14" s="8" customFormat="1" ht="31.5" customHeight="1">
      <c r="B34" s="105"/>
      <c r="C34" s="105"/>
      <c r="D34" s="105"/>
      <c r="E34" s="106"/>
      <c r="F34" s="106"/>
      <c r="G34" s="106"/>
      <c r="H34" s="136"/>
      <c r="I34" s="137"/>
      <c r="J34" s="106"/>
      <c r="K34" s="106"/>
      <c r="L34" s="106"/>
      <c r="M34" s="106"/>
      <c r="N34" s="106"/>
    </row>
    <row r="35" spans="2:14" s="8" customFormat="1" ht="31.5" customHeight="1" thickBot="1">
      <c r="B35" s="105"/>
      <c r="C35" s="105"/>
      <c r="D35" s="105"/>
      <c r="E35" s="106"/>
      <c r="F35" s="106"/>
      <c r="G35" s="106"/>
      <c r="H35" s="136"/>
      <c r="I35" s="137"/>
      <c r="J35" s="106"/>
      <c r="K35" s="106"/>
      <c r="L35" s="106"/>
      <c r="M35" s="106"/>
      <c r="N35" s="106"/>
    </row>
    <row r="36" spans="2:14" s="8" customFormat="1" ht="22.5" customHeight="1">
      <c r="B36" s="195" t="s">
        <v>254</v>
      </c>
      <c r="C36" s="164">
        <v>1</v>
      </c>
      <c r="D36" s="164" t="s">
        <v>162</v>
      </c>
      <c r="E36" s="138" t="s">
        <v>170</v>
      </c>
      <c r="F36" s="138" t="s">
        <v>171</v>
      </c>
      <c r="G36" s="138" t="s">
        <v>172</v>
      </c>
      <c r="H36" s="138" t="s">
        <v>173</v>
      </c>
      <c r="I36" s="167"/>
      <c r="J36" s="168"/>
      <c r="K36" s="200"/>
      <c r="L36" s="138" t="s">
        <v>174</v>
      </c>
      <c r="M36" s="165"/>
      <c r="N36" s="184"/>
    </row>
    <row r="37" spans="2:14" s="8" customFormat="1" ht="22.5" customHeight="1">
      <c r="B37" s="196" t="s">
        <v>255</v>
      </c>
      <c r="C37" s="124">
        <v>2</v>
      </c>
      <c r="D37" s="139" t="s">
        <v>162</v>
      </c>
      <c r="E37" s="140" t="s">
        <v>176</v>
      </c>
      <c r="F37" s="140" t="s">
        <v>95</v>
      </c>
      <c r="G37" s="140" t="s">
        <v>177</v>
      </c>
      <c r="H37" s="140" t="s">
        <v>178</v>
      </c>
      <c r="I37" s="127"/>
      <c r="J37" s="128"/>
      <c r="K37" s="193"/>
      <c r="L37" s="140" t="s">
        <v>174</v>
      </c>
      <c r="M37" s="140"/>
      <c r="N37" s="194"/>
    </row>
    <row r="38" spans="2:14" s="8" customFormat="1" ht="22.5" customHeight="1">
      <c r="B38" s="198"/>
      <c r="C38" s="124">
        <v>3</v>
      </c>
      <c r="D38" s="139" t="s">
        <v>175</v>
      </c>
      <c r="E38" s="140" t="s">
        <v>179</v>
      </c>
      <c r="F38" s="140" t="s">
        <v>95</v>
      </c>
      <c r="G38" s="140"/>
      <c r="H38" s="140"/>
      <c r="I38" s="127"/>
      <c r="J38" s="128"/>
      <c r="K38" s="193"/>
      <c r="L38" s="140" t="s">
        <v>174</v>
      </c>
      <c r="M38" s="140"/>
      <c r="N38" s="194"/>
    </row>
    <row r="39" spans="2:14" s="8" customFormat="1" ht="22.5" customHeight="1">
      <c r="B39" s="198"/>
      <c r="C39" s="124">
        <v>4</v>
      </c>
      <c r="D39" s="139" t="s">
        <v>175</v>
      </c>
      <c r="E39" s="140" t="s">
        <v>180</v>
      </c>
      <c r="F39" s="140" t="s">
        <v>95</v>
      </c>
      <c r="G39" s="140"/>
      <c r="H39" s="140"/>
      <c r="I39" s="127"/>
      <c r="J39" s="128"/>
      <c r="K39" s="193"/>
      <c r="L39" s="140" t="s">
        <v>174</v>
      </c>
      <c r="M39" s="140"/>
      <c r="N39" s="194"/>
    </row>
    <row r="40" spans="2:14" s="8" customFormat="1" ht="22.5" customHeight="1" thickBot="1">
      <c r="B40" s="199"/>
      <c r="C40" s="154">
        <v>5</v>
      </c>
      <c r="D40" s="201" t="s">
        <v>175</v>
      </c>
      <c r="E40" s="202"/>
      <c r="F40" s="202"/>
      <c r="G40" s="202"/>
      <c r="H40" s="202"/>
      <c r="I40" s="134"/>
      <c r="J40" s="103"/>
      <c r="K40" s="203"/>
      <c r="L40" s="202"/>
      <c r="M40" s="202"/>
      <c r="N40" s="204"/>
    </row>
  </sheetData>
  <mergeCells count="6">
    <mergeCell ref="B29:B33"/>
    <mergeCell ref="B2:N2"/>
    <mergeCell ref="B3:D3"/>
    <mergeCell ref="J3:K3"/>
    <mergeCell ref="B5:B11"/>
    <mergeCell ref="B12:B14"/>
  </mergeCells>
  <phoneticPr fontId="5" type="noConversion"/>
  <printOptions horizontalCentered="1"/>
  <pageMargins left="0.43307086614173229" right="0.35433070866141736" top="0.13" bottom="0.13" header="0.13" footer="0.2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D25" sqref="D25"/>
    </sheetView>
  </sheetViews>
  <sheetFormatPr defaultRowHeight="16.5"/>
  <cols>
    <col min="1" max="1" width="13.375" style="1" customWidth="1"/>
    <col min="2" max="3" width="11.875" style="1" customWidth="1"/>
  </cols>
  <sheetData>
    <row r="1" spans="1:3" ht="41.25" customHeight="1" thickBot="1">
      <c r="A1" s="462" t="s">
        <v>14</v>
      </c>
      <c r="B1" s="462"/>
      <c r="C1" s="462"/>
    </row>
    <row r="2" spans="1:3" s="8" customFormat="1" ht="27.75" customHeight="1" thickBot="1">
      <c r="A2" s="9" t="s">
        <v>24</v>
      </c>
      <c r="B2" s="10" t="s">
        <v>7</v>
      </c>
      <c r="C2" s="11" t="s">
        <v>8</v>
      </c>
    </row>
    <row r="3" spans="1:3" ht="21" customHeight="1" thickTop="1">
      <c r="A3" s="457" t="s">
        <v>6</v>
      </c>
      <c r="B3" s="7" t="s">
        <v>9</v>
      </c>
      <c r="C3" s="6" t="s">
        <v>12</v>
      </c>
    </row>
    <row r="4" spans="1:3" ht="21" customHeight="1">
      <c r="A4" s="458"/>
      <c r="B4" s="2" t="s">
        <v>11</v>
      </c>
      <c r="C4" s="3" t="s">
        <v>0</v>
      </c>
    </row>
    <row r="5" spans="1:3" ht="21" customHeight="1" thickBot="1">
      <c r="A5" s="459"/>
      <c r="B5" s="4" t="s">
        <v>10</v>
      </c>
      <c r="C5" s="5" t="s">
        <v>13</v>
      </c>
    </row>
    <row r="6" spans="1:3" ht="21" customHeight="1">
      <c r="A6" s="460" t="s">
        <v>15</v>
      </c>
      <c r="B6" s="12" t="s">
        <v>1</v>
      </c>
      <c r="C6" s="6" t="s">
        <v>3</v>
      </c>
    </row>
    <row r="7" spans="1:3" ht="21" customHeight="1">
      <c r="A7" s="460"/>
      <c r="B7" s="13" t="s">
        <v>2</v>
      </c>
      <c r="C7" s="3" t="s">
        <v>26</v>
      </c>
    </row>
    <row r="8" spans="1:3" ht="21" customHeight="1">
      <c r="A8" s="460"/>
      <c r="B8" s="13" t="s">
        <v>25</v>
      </c>
      <c r="C8" s="3"/>
    </row>
    <row r="9" spans="1:3" ht="21" customHeight="1">
      <c r="A9" s="460"/>
      <c r="B9" s="13" t="s">
        <v>4</v>
      </c>
      <c r="C9" s="3"/>
    </row>
    <row r="10" spans="1:3" ht="21" customHeight="1" thickBot="1">
      <c r="A10" s="461"/>
      <c r="B10" s="14" t="s">
        <v>5</v>
      </c>
      <c r="C10" s="5"/>
    </row>
    <row r="11" spans="1:3" ht="21" customHeight="1">
      <c r="A11" s="460" t="s">
        <v>16</v>
      </c>
      <c r="B11" s="7" t="s">
        <v>17</v>
      </c>
      <c r="C11" s="6"/>
    </row>
    <row r="12" spans="1:3" ht="21" customHeight="1" thickBot="1">
      <c r="A12" s="461"/>
      <c r="B12" s="4" t="s">
        <v>18</v>
      </c>
      <c r="C12" s="5"/>
    </row>
    <row r="13" spans="1:3" ht="21" customHeight="1">
      <c r="A13" s="460" t="s">
        <v>20</v>
      </c>
      <c r="B13" s="7" t="s">
        <v>23</v>
      </c>
      <c r="C13" s="6" t="s">
        <v>19</v>
      </c>
    </row>
    <row r="14" spans="1:3" ht="21" customHeight="1">
      <c r="A14" s="460"/>
      <c r="B14" s="7"/>
      <c r="C14" s="6" t="s">
        <v>22</v>
      </c>
    </row>
    <row r="15" spans="1:3" ht="21" customHeight="1">
      <c r="A15" s="460"/>
      <c r="B15" s="2"/>
      <c r="C15" s="3" t="s">
        <v>27</v>
      </c>
    </row>
    <row r="16" spans="1:3" ht="21" customHeight="1">
      <c r="A16" s="460"/>
      <c r="B16" s="2"/>
      <c r="C16" s="3" t="s">
        <v>21</v>
      </c>
    </row>
    <row r="17" spans="1:3" ht="21" customHeight="1" thickBot="1">
      <c r="A17" s="461"/>
      <c r="B17" s="4"/>
      <c r="C17" s="5"/>
    </row>
  </sheetData>
  <mergeCells count="5">
    <mergeCell ref="A3:A5"/>
    <mergeCell ref="A6:A10"/>
    <mergeCell ref="A11:A12"/>
    <mergeCell ref="A13:A17"/>
    <mergeCell ref="A1:C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1"/>
  <sheetViews>
    <sheetView topLeftCell="A22" workbookViewId="0">
      <selection activeCell="D42" sqref="D42"/>
    </sheetView>
  </sheetViews>
  <sheetFormatPr defaultRowHeight="16.5"/>
  <cols>
    <col min="6" max="6" width="12.75" bestFit="1" customWidth="1"/>
  </cols>
  <sheetData>
    <row r="1" spans="1:14" ht="38.25" customHeight="1">
      <c r="A1" s="463" t="s">
        <v>28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ht="38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5.25" thickBot="1">
      <c r="A3" s="17" t="s">
        <v>29</v>
      </c>
      <c r="B3" s="17"/>
      <c r="C3" s="18"/>
      <c r="D3" s="15"/>
      <c r="E3" s="15"/>
      <c r="F3" s="96"/>
      <c r="G3" s="15"/>
      <c r="H3" s="15"/>
      <c r="I3" s="15"/>
      <c r="J3" s="15"/>
      <c r="K3" s="15"/>
      <c r="L3" s="15"/>
      <c r="M3" s="15"/>
      <c r="N3" s="15"/>
    </row>
    <row r="4" spans="1:14">
      <c r="A4" s="464" t="s">
        <v>30</v>
      </c>
      <c r="B4" s="466" t="s">
        <v>31</v>
      </c>
      <c r="C4" s="466" t="s">
        <v>32</v>
      </c>
      <c r="D4" s="466" t="s">
        <v>33</v>
      </c>
      <c r="E4" s="468" t="s">
        <v>34</v>
      </c>
      <c r="F4" s="469"/>
      <c r="G4" s="470" t="s">
        <v>35</v>
      </c>
      <c r="H4" s="469"/>
      <c r="I4" s="470" t="s">
        <v>36</v>
      </c>
      <c r="J4" s="469"/>
      <c r="K4" s="470" t="s">
        <v>37</v>
      </c>
      <c r="L4" s="469"/>
      <c r="M4" s="471" t="s">
        <v>38</v>
      </c>
      <c r="N4" s="472"/>
    </row>
    <row r="5" spans="1:14" ht="17.25" thickBot="1">
      <c r="A5" s="465"/>
      <c r="B5" s="467"/>
      <c r="C5" s="467"/>
      <c r="D5" s="467"/>
      <c r="E5" s="19" t="s">
        <v>39</v>
      </c>
      <c r="F5" s="20" t="s">
        <v>40</v>
      </c>
      <c r="G5" s="19" t="s">
        <v>39</v>
      </c>
      <c r="H5" s="20" t="s">
        <v>40</v>
      </c>
      <c r="I5" s="19" t="s">
        <v>39</v>
      </c>
      <c r="J5" s="20" t="s">
        <v>40</v>
      </c>
      <c r="K5" s="19" t="s">
        <v>39</v>
      </c>
      <c r="L5" s="20" t="s">
        <v>40</v>
      </c>
      <c r="M5" s="21" t="s">
        <v>40</v>
      </c>
      <c r="N5" s="22" t="s">
        <v>41</v>
      </c>
    </row>
    <row r="6" spans="1:14" ht="15.75" customHeight="1">
      <c r="A6" s="23" t="s">
        <v>42</v>
      </c>
      <c r="B6" s="482" t="s">
        <v>43</v>
      </c>
      <c r="C6" s="483"/>
      <c r="D6" s="484"/>
      <c r="E6" s="24">
        <v>2699</v>
      </c>
      <c r="F6" s="25" t="s">
        <v>44</v>
      </c>
      <c r="G6" s="24">
        <v>2855</v>
      </c>
      <c r="H6" s="25" t="s">
        <v>44</v>
      </c>
      <c r="I6" s="24">
        <v>1872</v>
      </c>
      <c r="J6" s="25" t="s">
        <v>45</v>
      </c>
      <c r="K6" s="24">
        <v>2749</v>
      </c>
      <c r="L6" s="25" t="s">
        <v>44</v>
      </c>
      <c r="M6" s="26"/>
      <c r="N6" s="27"/>
    </row>
    <row r="7" spans="1:14" ht="15.75" customHeight="1">
      <c r="A7" s="23"/>
      <c r="B7" s="28" t="s">
        <v>46</v>
      </c>
      <c r="C7" s="29" t="s">
        <v>47</v>
      </c>
      <c r="D7" s="29" t="s">
        <v>44</v>
      </c>
      <c r="E7" s="30">
        <v>3425</v>
      </c>
      <c r="F7" s="31">
        <v>788</v>
      </c>
      <c r="G7" s="30">
        <v>3842</v>
      </c>
      <c r="H7" s="32">
        <v>743</v>
      </c>
      <c r="I7" s="30">
        <v>2402</v>
      </c>
      <c r="J7" s="31">
        <v>779</v>
      </c>
      <c r="K7" s="30">
        <v>2749</v>
      </c>
      <c r="L7" s="33">
        <v>1000</v>
      </c>
      <c r="M7" s="34">
        <v>2567</v>
      </c>
      <c r="N7" s="35">
        <v>1</v>
      </c>
    </row>
    <row r="8" spans="1:14" ht="15.75" customHeight="1">
      <c r="A8" s="23"/>
      <c r="B8" s="36" t="s">
        <v>48</v>
      </c>
      <c r="C8" s="37" t="s">
        <v>49</v>
      </c>
      <c r="D8" s="37" t="s">
        <v>44</v>
      </c>
      <c r="E8" s="30">
        <v>3628</v>
      </c>
      <c r="F8" s="31">
        <v>744</v>
      </c>
      <c r="G8" s="30">
        <v>3423</v>
      </c>
      <c r="H8" s="31">
        <v>834</v>
      </c>
      <c r="I8" s="30">
        <v>1962</v>
      </c>
      <c r="J8" s="31">
        <v>954</v>
      </c>
      <c r="K8" s="37" t="s">
        <v>50</v>
      </c>
      <c r="L8" s="37" t="s">
        <v>50</v>
      </c>
      <c r="M8" s="34">
        <v>2532</v>
      </c>
      <c r="N8" s="35">
        <v>2</v>
      </c>
    </row>
    <row r="9" spans="1:14" ht="15.75" customHeight="1">
      <c r="A9" s="23"/>
      <c r="B9" s="36" t="s">
        <v>51</v>
      </c>
      <c r="C9" s="37" t="s">
        <v>52</v>
      </c>
      <c r="D9" s="37" t="s">
        <v>44</v>
      </c>
      <c r="E9" s="30">
        <v>3415</v>
      </c>
      <c r="F9" s="31">
        <v>790</v>
      </c>
      <c r="G9" s="30">
        <v>7080</v>
      </c>
      <c r="H9" s="31">
        <v>403</v>
      </c>
      <c r="I9" s="30">
        <v>2043</v>
      </c>
      <c r="J9" s="31">
        <v>916</v>
      </c>
      <c r="K9" s="37" t="s">
        <v>50</v>
      </c>
      <c r="L9" s="37" t="s">
        <v>50</v>
      </c>
      <c r="M9" s="34">
        <v>2110</v>
      </c>
      <c r="N9" s="35">
        <v>3</v>
      </c>
    </row>
    <row r="10" spans="1:14" ht="15.75" customHeight="1">
      <c r="A10" s="23"/>
      <c r="B10" s="38" t="s">
        <v>53</v>
      </c>
      <c r="C10" s="39" t="s">
        <v>54</v>
      </c>
      <c r="D10" s="37" t="s">
        <v>44</v>
      </c>
      <c r="E10" s="37" t="s">
        <v>50</v>
      </c>
      <c r="F10" s="37" t="s">
        <v>50</v>
      </c>
      <c r="G10" s="37" t="s">
        <v>50</v>
      </c>
      <c r="H10" s="37" t="s">
        <v>50</v>
      </c>
      <c r="I10" s="40">
        <v>2326</v>
      </c>
      <c r="J10" s="31">
        <v>805</v>
      </c>
      <c r="K10" s="37" t="s">
        <v>50</v>
      </c>
      <c r="L10" s="37" t="s">
        <v>50</v>
      </c>
      <c r="M10" s="41">
        <v>805</v>
      </c>
      <c r="N10" s="42">
        <v>4</v>
      </c>
    </row>
    <row r="11" spans="1:14" ht="15.75" customHeight="1">
      <c r="A11" s="23"/>
      <c r="B11" s="28" t="s">
        <v>55</v>
      </c>
      <c r="C11" s="29" t="s">
        <v>52</v>
      </c>
      <c r="D11" s="37" t="s">
        <v>44</v>
      </c>
      <c r="E11" s="37" t="s">
        <v>50</v>
      </c>
      <c r="F11" s="37" t="s">
        <v>50</v>
      </c>
      <c r="G11" s="30">
        <v>4380</v>
      </c>
      <c r="H11" s="31">
        <v>652</v>
      </c>
      <c r="I11" s="29" t="s">
        <v>50</v>
      </c>
      <c r="J11" s="37" t="s">
        <v>50</v>
      </c>
      <c r="K11" s="37" t="s">
        <v>50</v>
      </c>
      <c r="L11" s="37" t="s">
        <v>50</v>
      </c>
      <c r="M11" s="43">
        <v>652</v>
      </c>
      <c r="N11" s="44">
        <v>5</v>
      </c>
    </row>
    <row r="12" spans="1:14" ht="15.75" customHeight="1">
      <c r="A12" s="23"/>
      <c r="B12" s="38" t="s">
        <v>56</v>
      </c>
      <c r="C12" s="39" t="s">
        <v>57</v>
      </c>
      <c r="D12" s="37" t="s">
        <v>44</v>
      </c>
      <c r="E12" s="37" t="s">
        <v>50</v>
      </c>
      <c r="F12" s="37" t="s">
        <v>50</v>
      </c>
      <c r="G12" s="37" t="s">
        <v>50</v>
      </c>
      <c r="H12" s="37" t="s">
        <v>50</v>
      </c>
      <c r="I12" s="37" t="s">
        <v>50</v>
      </c>
      <c r="J12" s="37" t="s">
        <v>50</v>
      </c>
      <c r="K12" s="40">
        <v>4388</v>
      </c>
      <c r="L12" s="31">
        <v>626</v>
      </c>
      <c r="M12" s="45">
        <v>626</v>
      </c>
      <c r="N12" s="46">
        <v>6</v>
      </c>
    </row>
    <row r="13" spans="1:14" ht="15.75" customHeight="1">
      <c r="A13" s="23"/>
      <c r="B13" s="28" t="s">
        <v>58</v>
      </c>
      <c r="C13" s="29" t="s">
        <v>54</v>
      </c>
      <c r="D13" s="37" t="s">
        <v>44</v>
      </c>
      <c r="E13" s="30">
        <v>4610</v>
      </c>
      <c r="F13" s="31">
        <v>585</v>
      </c>
      <c r="G13" s="37" t="s">
        <v>50</v>
      </c>
      <c r="H13" s="37" t="s">
        <v>50</v>
      </c>
      <c r="I13" s="37" t="s">
        <v>50</v>
      </c>
      <c r="J13" s="37" t="s">
        <v>50</v>
      </c>
      <c r="K13" s="29" t="s">
        <v>50</v>
      </c>
      <c r="L13" s="37" t="s">
        <v>50</v>
      </c>
      <c r="M13" s="47">
        <v>585</v>
      </c>
      <c r="N13" s="48">
        <v>7</v>
      </c>
    </row>
    <row r="14" spans="1:14" ht="15.75" customHeight="1">
      <c r="A14" s="23"/>
      <c r="B14" s="38" t="s">
        <v>59</v>
      </c>
      <c r="C14" s="39" t="s">
        <v>57</v>
      </c>
      <c r="D14" s="37" t="s">
        <v>44</v>
      </c>
      <c r="E14" s="37" t="s">
        <v>50</v>
      </c>
      <c r="F14" s="37" t="s">
        <v>50</v>
      </c>
      <c r="G14" s="40">
        <v>6258</v>
      </c>
      <c r="H14" s="31">
        <v>456</v>
      </c>
      <c r="I14" s="37" t="s">
        <v>50</v>
      </c>
      <c r="J14" s="37" t="s">
        <v>50</v>
      </c>
      <c r="K14" s="37" t="s">
        <v>50</v>
      </c>
      <c r="L14" s="37" t="s">
        <v>50</v>
      </c>
      <c r="M14" s="45">
        <v>456</v>
      </c>
      <c r="N14" s="46">
        <v>8</v>
      </c>
    </row>
    <row r="15" spans="1:14" ht="15.75" customHeight="1">
      <c r="A15" s="23"/>
      <c r="B15" s="49" t="s">
        <v>60</v>
      </c>
      <c r="C15" s="50" t="s">
        <v>57</v>
      </c>
      <c r="D15" s="37" t="s">
        <v>44</v>
      </c>
      <c r="E15" s="37" t="s">
        <v>50</v>
      </c>
      <c r="F15" s="37" t="s">
        <v>50</v>
      </c>
      <c r="G15" s="51">
        <v>6886</v>
      </c>
      <c r="H15" s="31">
        <v>415</v>
      </c>
      <c r="I15" s="37" t="s">
        <v>50</v>
      </c>
      <c r="J15" s="37" t="s">
        <v>50</v>
      </c>
      <c r="K15" s="37" t="s">
        <v>50</v>
      </c>
      <c r="L15" s="37" t="s">
        <v>50</v>
      </c>
      <c r="M15" s="52">
        <v>415</v>
      </c>
      <c r="N15" s="53">
        <v>9</v>
      </c>
    </row>
    <row r="16" spans="1:14" ht="15.75" customHeight="1">
      <c r="A16" s="54"/>
      <c r="B16" s="28" t="s">
        <v>60</v>
      </c>
      <c r="C16" s="29" t="s">
        <v>57</v>
      </c>
      <c r="D16" s="37" t="s">
        <v>44</v>
      </c>
      <c r="E16" s="30">
        <v>6705</v>
      </c>
      <c r="F16" s="31">
        <v>403</v>
      </c>
      <c r="G16" s="29" t="s">
        <v>50</v>
      </c>
      <c r="H16" s="37" t="s">
        <v>50</v>
      </c>
      <c r="I16" s="37" t="s">
        <v>50</v>
      </c>
      <c r="J16" s="37" t="s">
        <v>50</v>
      </c>
      <c r="K16" s="37" t="s">
        <v>50</v>
      </c>
      <c r="L16" s="37" t="s">
        <v>50</v>
      </c>
      <c r="M16" s="28">
        <v>403</v>
      </c>
      <c r="N16" s="48">
        <v>10</v>
      </c>
    </row>
    <row r="17" spans="1:14" ht="15.75" customHeight="1">
      <c r="A17" s="54"/>
      <c r="B17" s="36" t="s">
        <v>59</v>
      </c>
      <c r="C17" s="37" t="s">
        <v>57</v>
      </c>
      <c r="D17" s="37" t="s">
        <v>44</v>
      </c>
      <c r="E17" s="30">
        <v>6760</v>
      </c>
      <c r="F17" s="31">
        <v>399</v>
      </c>
      <c r="G17" s="37" t="s">
        <v>50</v>
      </c>
      <c r="H17" s="37" t="s">
        <v>50</v>
      </c>
      <c r="I17" s="37" t="s">
        <v>50</v>
      </c>
      <c r="J17" s="37" t="s">
        <v>50</v>
      </c>
      <c r="K17" s="37" t="s">
        <v>50</v>
      </c>
      <c r="L17" s="37" t="s">
        <v>50</v>
      </c>
      <c r="M17" s="36">
        <v>399</v>
      </c>
      <c r="N17" s="55">
        <v>11</v>
      </c>
    </row>
    <row r="18" spans="1:14" ht="15.75" customHeight="1">
      <c r="A18" s="54"/>
      <c r="B18" s="38" t="s">
        <v>61</v>
      </c>
      <c r="C18" s="39" t="s">
        <v>62</v>
      </c>
      <c r="D18" s="37" t="s">
        <v>44</v>
      </c>
      <c r="E18" s="37" t="s">
        <v>50</v>
      </c>
      <c r="F18" s="37" t="s">
        <v>50</v>
      </c>
      <c r="G18" s="40">
        <v>7322</v>
      </c>
      <c r="H18" s="31">
        <v>390</v>
      </c>
      <c r="I18" s="37" t="s">
        <v>50</v>
      </c>
      <c r="J18" s="37" t="s">
        <v>50</v>
      </c>
      <c r="K18" s="37" t="s">
        <v>50</v>
      </c>
      <c r="L18" s="37" t="s">
        <v>50</v>
      </c>
      <c r="M18" s="38">
        <v>390</v>
      </c>
      <c r="N18" s="46">
        <v>12</v>
      </c>
    </row>
    <row r="19" spans="1:14" ht="15.75" customHeight="1">
      <c r="A19" s="54"/>
      <c r="B19" s="49" t="s">
        <v>63</v>
      </c>
      <c r="C19" s="50" t="s">
        <v>64</v>
      </c>
      <c r="D19" s="37" t="s">
        <v>44</v>
      </c>
      <c r="E19" s="37" t="s">
        <v>50</v>
      </c>
      <c r="F19" s="37" t="s">
        <v>50</v>
      </c>
      <c r="G19" s="51">
        <v>7490</v>
      </c>
      <c r="H19" s="31">
        <v>381</v>
      </c>
      <c r="I19" s="37" t="s">
        <v>50</v>
      </c>
      <c r="J19" s="37" t="s">
        <v>50</v>
      </c>
      <c r="K19" s="37" t="s">
        <v>50</v>
      </c>
      <c r="L19" s="37" t="s">
        <v>50</v>
      </c>
      <c r="M19" s="49">
        <v>381</v>
      </c>
      <c r="N19" s="53">
        <v>13</v>
      </c>
    </row>
    <row r="20" spans="1:14" ht="15.75" customHeight="1">
      <c r="A20" s="54"/>
      <c r="B20" s="28" t="s">
        <v>65</v>
      </c>
      <c r="C20" s="29" t="s">
        <v>54</v>
      </c>
      <c r="D20" s="37" t="s">
        <v>44</v>
      </c>
      <c r="E20" s="30">
        <v>8170</v>
      </c>
      <c r="F20" s="31">
        <v>330</v>
      </c>
      <c r="G20" s="29" t="s">
        <v>50</v>
      </c>
      <c r="H20" s="37" t="s">
        <v>50</v>
      </c>
      <c r="I20" s="37" t="s">
        <v>50</v>
      </c>
      <c r="J20" s="37" t="s">
        <v>50</v>
      </c>
      <c r="K20" s="37" t="s">
        <v>50</v>
      </c>
      <c r="L20" s="37" t="s">
        <v>50</v>
      </c>
      <c r="M20" s="28">
        <v>330</v>
      </c>
      <c r="N20" s="48">
        <v>14</v>
      </c>
    </row>
    <row r="21" spans="1:14" ht="15.75" customHeight="1">
      <c r="A21" s="54"/>
      <c r="B21" s="38" t="s">
        <v>66</v>
      </c>
      <c r="C21" s="39" t="s">
        <v>67</v>
      </c>
      <c r="D21" s="37" t="s">
        <v>44</v>
      </c>
      <c r="E21" s="37" t="s">
        <v>50</v>
      </c>
      <c r="F21" s="37" t="s">
        <v>50</v>
      </c>
      <c r="G21" s="39" t="s">
        <v>68</v>
      </c>
      <c r="H21" s="37" t="s">
        <v>50</v>
      </c>
      <c r="I21" s="37" t="s">
        <v>50</v>
      </c>
      <c r="J21" s="37" t="s">
        <v>50</v>
      </c>
      <c r="K21" s="39" t="s">
        <v>68</v>
      </c>
      <c r="L21" s="37" t="s">
        <v>50</v>
      </c>
      <c r="M21" s="38" t="s">
        <v>50</v>
      </c>
      <c r="N21" s="46">
        <v>15</v>
      </c>
    </row>
    <row r="22" spans="1:14" ht="15.75" customHeight="1" thickBot="1">
      <c r="A22" s="56"/>
      <c r="B22" s="57"/>
      <c r="C22" s="58"/>
      <c r="D22" s="37" t="s">
        <v>44</v>
      </c>
      <c r="E22" s="19"/>
      <c r="F22" s="19"/>
      <c r="G22" s="58"/>
      <c r="H22" s="20"/>
      <c r="I22" s="19"/>
      <c r="J22" s="20"/>
      <c r="K22" s="58"/>
      <c r="L22" s="19"/>
      <c r="M22" s="57" t="s">
        <v>50</v>
      </c>
      <c r="N22" s="59"/>
    </row>
    <row r="23" spans="1:14">
      <c r="A23" s="54" t="s">
        <v>69</v>
      </c>
      <c r="B23" s="485" t="s">
        <v>43</v>
      </c>
      <c r="C23" s="486"/>
      <c r="D23" s="487"/>
      <c r="E23" s="60">
        <v>3558</v>
      </c>
      <c r="F23" s="25" t="s">
        <v>70</v>
      </c>
      <c r="G23" s="24">
        <v>3251</v>
      </c>
      <c r="H23" s="25" t="s">
        <v>70</v>
      </c>
      <c r="I23" s="24">
        <v>3032</v>
      </c>
      <c r="J23" s="25" t="s">
        <v>71</v>
      </c>
      <c r="K23" s="24">
        <v>2450</v>
      </c>
      <c r="L23" s="25" t="s">
        <v>70</v>
      </c>
      <c r="M23" s="61"/>
      <c r="N23" s="27"/>
    </row>
    <row r="24" spans="1:14">
      <c r="A24" s="54"/>
      <c r="B24" s="36" t="s">
        <v>72</v>
      </c>
      <c r="C24" s="37" t="s">
        <v>57</v>
      </c>
      <c r="D24" s="37" t="s">
        <v>70</v>
      </c>
      <c r="E24" s="62">
        <v>7340</v>
      </c>
      <c r="F24" s="31">
        <v>485</v>
      </c>
      <c r="G24" s="30">
        <v>5957</v>
      </c>
      <c r="H24" s="31">
        <v>546</v>
      </c>
      <c r="I24" s="37" t="s">
        <v>50</v>
      </c>
      <c r="J24" s="37" t="s">
        <v>50</v>
      </c>
      <c r="K24" s="30">
        <v>5572</v>
      </c>
      <c r="L24" s="31">
        <v>440</v>
      </c>
      <c r="M24" s="63">
        <v>1470</v>
      </c>
      <c r="N24" s="35">
        <v>1</v>
      </c>
    </row>
    <row r="25" spans="1:14">
      <c r="A25" s="54"/>
      <c r="B25" s="36" t="s">
        <v>73</v>
      </c>
      <c r="C25" s="37" t="s">
        <v>54</v>
      </c>
      <c r="D25" s="37" t="s">
        <v>70</v>
      </c>
      <c r="E25" s="37" t="s">
        <v>50</v>
      </c>
      <c r="F25" s="37" t="s">
        <v>50</v>
      </c>
      <c r="G25" s="30">
        <v>5990</v>
      </c>
      <c r="H25" s="31">
        <v>543</v>
      </c>
      <c r="I25" s="30">
        <v>3335</v>
      </c>
      <c r="J25" s="31">
        <v>909</v>
      </c>
      <c r="K25" s="37" t="s">
        <v>50</v>
      </c>
      <c r="L25" s="37" t="s">
        <v>50</v>
      </c>
      <c r="M25" s="63">
        <v>1452</v>
      </c>
      <c r="N25" s="35">
        <v>2</v>
      </c>
    </row>
    <row r="26" spans="1:14">
      <c r="A26" s="54"/>
      <c r="B26" s="36" t="s">
        <v>74</v>
      </c>
      <c r="C26" s="37" t="s">
        <v>57</v>
      </c>
      <c r="D26" s="37" t="s">
        <v>70</v>
      </c>
      <c r="E26" s="30">
        <v>6220</v>
      </c>
      <c r="F26" s="31">
        <v>572</v>
      </c>
      <c r="G26" s="37" t="s">
        <v>50</v>
      </c>
      <c r="H26" s="37" t="s">
        <v>50</v>
      </c>
      <c r="I26" s="37" t="s">
        <v>50</v>
      </c>
      <c r="J26" s="37" t="s">
        <v>50</v>
      </c>
      <c r="K26" s="30">
        <v>4549</v>
      </c>
      <c r="L26" s="31">
        <v>539</v>
      </c>
      <c r="M26" s="63">
        <v>1111</v>
      </c>
      <c r="N26" s="35">
        <v>3</v>
      </c>
    </row>
    <row r="27" spans="1:14">
      <c r="A27" s="54"/>
      <c r="B27" s="36" t="s">
        <v>75</v>
      </c>
      <c r="C27" s="37" t="s">
        <v>57</v>
      </c>
      <c r="D27" s="37" t="s">
        <v>70</v>
      </c>
      <c r="E27" s="37" t="s">
        <v>68</v>
      </c>
      <c r="F27" s="37" t="s">
        <v>50</v>
      </c>
      <c r="G27" s="30">
        <v>7658</v>
      </c>
      <c r="H27" s="31">
        <v>425</v>
      </c>
      <c r="I27" s="37" t="s">
        <v>50</v>
      </c>
      <c r="J27" s="37" t="s">
        <v>50</v>
      </c>
      <c r="K27" s="30">
        <v>5492</v>
      </c>
      <c r="L27" s="31">
        <v>446</v>
      </c>
      <c r="M27" s="64">
        <v>871</v>
      </c>
      <c r="N27" s="35">
        <v>4</v>
      </c>
    </row>
    <row r="28" spans="1:14">
      <c r="A28" s="54"/>
      <c r="B28" s="38"/>
      <c r="C28" s="39"/>
      <c r="D28" s="39"/>
      <c r="E28" s="39"/>
      <c r="F28" s="39"/>
      <c r="G28" s="39"/>
      <c r="H28" s="65"/>
      <c r="I28" s="39"/>
      <c r="J28" s="65"/>
      <c r="K28" s="39"/>
      <c r="L28" s="65"/>
      <c r="M28" s="66"/>
      <c r="N28" s="42"/>
    </row>
    <row r="29" spans="1:14" ht="17.25" thickBot="1">
      <c r="A29" s="56"/>
      <c r="B29" s="67"/>
      <c r="C29" s="68"/>
      <c r="D29" s="68"/>
      <c r="E29" s="68"/>
      <c r="F29" s="69"/>
      <c r="G29" s="68"/>
      <c r="H29" s="69"/>
      <c r="I29" s="68"/>
      <c r="J29" s="69"/>
      <c r="K29" s="68"/>
      <c r="L29" s="69"/>
      <c r="M29" s="70"/>
      <c r="N29" s="71"/>
    </row>
    <row r="30" spans="1:14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35.25" thickBot="1">
      <c r="A31" s="17" t="s">
        <v>76</v>
      </c>
      <c r="B31" s="17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>
      <c r="A32" s="488" t="s">
        <v>30</v>
      </c>
      <c r="B32" s="489" t="s">
        <v>31</v>
      </c>
      <c r="C32" s="489" t="s">
        <v>32</v>
      </c>
      <c r="D32" s="489" t="s">
        <v>33</v>
      </c>
      <c r="E32" s="491" t="s">
        <v>34</v>
      </c>
      <c r="F32" s="492"/>
      <c r="G32" s="493" t="s">
        <v>35</v>
      </c>
      <c r="H32" s="492"/>
      <c r="I32" s="493" t="s">
        <v>36</v>
      </c>
      <c r="J32" s="492"/>
      <c r="K32" s="493" t="s">
        <v>37</v>
      </c>
      <c r="L32" s="492"/>
      <c r="M32" s="494" t="s">
        <v>38</v>
      </c>
      <c r="N32" s="495"/>
    </row>
    <row r="33" spans="1:14" ht="17.25" thickBot="1">
      <c r="A33" s="475"/>
      <c r="B33" s="490"/>
      <c r="C33" s="490"/>
      <c r="D33" s="490"/>
      <c r="E33" s="74" t="s">
        <v>39</v>
      </c>
      <c r="F33" s="75" t="s">
        <v>40</v>
      </c>
      <c r="G33" s="74" t="s">
        <v>39</v>
      </c>
      <c r="H33" s="75" t="s">
        <v>40</v>
      </c>
      <c r="I33" s="74" t="s">
        <v>39</v>
      </c>
      <c r="J33" s="75" t="s">
        <v>40</v>
      </c>
      <c r="K33" s="74" t="s">
        <v>39</v>
      </c>
      <c r="L33" s="75" t="s">
        <v>40</v>
      </c>
      <c r="M33" s="75" t="s">
        <v>40</v>
      </c>
      <c r="N33" s="76" t="s">
        <v>41</v>
      </c>
    </row>
    <row r="34" spans="1:14">
      <c r="A34" s="473" t="s">
        <v>42</v>
      </c>
      <c r="B34" s="476" t="s">
        <v>43</v>
      </c>
      <c r="C34" s="477"/>
      <c r="D34" s="478"/>
      <c r="E34" s="78" t="s">
        <v>77</v>
      </c>
      <c r="F34" s="78" t="s">
        <v>77</v>
      </c>
      <c r="G34" s="79">
        <v>3297</v>
      </c>
      <c r="H34" s="78" t="s">
        <v>78</v>
      </c>
      <c r="I34" s="80" t="s">
        <v>77</v>
      </c>
      <c r="J34" s="80" t="s">
        <v>77</v>
      </c>
      <c r="K34" s="81">
        <v>1950</v>
      </c>
      <c r="L34" s="80" t="s">
        <v>78</v>
      </c>
      <c r="M34" s="82"/>
      <c r="N34" s="83"/>
    </row>
    <row r="35" spans="1:14">
      <c r="A35" s="474"/>
      <c r="B35" s="479"/>
      <c r="C35" s="480"/>
      <c r="D35" s="481"/>
      <c r="E35" s="78" t="s">
        <v>77</v>
      </c>
      <c r="F35" s="78" t="s">
        <v>77</v>
      </c>
      <c r="G35" s="78" t="s">
        <v>77</v>
      </c>
      <c r="H35" s="78" t="s">
        <v>77</v>
      </c>
      <c r="I35" s="25" t="s">
        <v>77</v>
      </c>
      <c r="J35" s="25" t="s">
        <v>77</v>
      </c>
      <c r="K35" s="25" t="s">
        <v>77</v>
      </c>
      <c r="L35" s="25" t="s">
        <v>77</v>
      </c>
      <c r="M35" s="61"/>
      <c r="N35" s="84"/>
    </row>
    <row r="36" spans="1:14" ht="27">
      <c r="A36" s="474"/>
      <c r="B36" s="28" t="s">
        <v>79</v>
      </c>
      <c r="C36" s="29" t="s">
        <v>52</v>
      </c>
      <c r="D36" s="29" t="s">
        <v>78</v>
      </c>
      <c r="E36" s="29" t="s">
        <v>50</v>
      </c>
      <c r="F36" s="29" t="s">
        <v>50</v>
      </c>
      <c r="G36" s="62">
        <v>5850</v>
      </c>
      <c r="H36" s="85">
        <v>564</v>
      </c>
      <c r="I36" s="37" t="s">
        <v>50</v>
      </c>
      <c r="J36" s="37" t="s">
        <v>50</v>
      </c>
      <c r="K36" s="30">
        <v>2950</v>
      </c>
      <c r="L36" s="32">
        <v>661</v>
      </c>
      <c r="M36" s="63">
        <v>1225</v>
      </c>
      <c r="N36" s="86">
        <v>1</v>
      </c>
    </row>
    <row r="37" spans="1:14" ht="17.25" thickBot="1">
      <c r="A37" s="475"/>
      <c r="B37" s="87"/>
      <c r="C37" s="19"/>
      <c r="D37" s="19"/>
      <c r="E37" s="19"/>
      <c r="F37" s="19"/>
      <c r="G37" s="19"/>
      <c r="H37" s="20"/>
      <c r="I37" s="19"/>
      <c r="J37" s="20"/>
      <c r="K37" s="19"/>
      <c r="L37" s="19"/>
      <c r="M37" s="20"/>
      <c r="N37" s="88"/>
    </row>
    <row r="38" spans="1:14">
      <c r="A38" s="77"/>
      <c r="B38" s="496" t="s">
        <v>43</v>
      </c>
      <c r="C38" s="497"/>
      <c r="D38" s="498"/>
      <c r="E38" s="78" t="s">
        <v>77</v>
      </c>
      <c r="F38" s="78" t="s">
        <v>77</v>
      </c>
      <c r="G38" s="25"/>
      <c r="H38" s="25"/>
      <c r="I38" s="25"/>
      <c r="J38" s="25"/>
      <c r="K38" s="25"/>
      <c r="L38" s="25"/>
      <c r="M38" s="61"/>
      <c r="N38" s="84"/>
    </row>
    <row r="39" spans="1:14">
      <c r="A39" s="77" t="s">
        <v>69</v>
      </c>
      <c r="B39" s="499"/>
      <c r="C39" s="500"/>
      <c r="D39" s="501"/>
      <c r="E39" s="80" t="s">
        <v>77</v>
      </c>
      <c r="F39" s="80" t="s">
        <v>77</v>
      </c>
      <c r="G39" s="25"/>
      <c r="H39" s="25"/>
      <c r="I39" s="25"/>
      <c r="J39" s="25"/>
      <c r="K39" s="25"/>
      <c r="L39" s="25"/>
      <c r="M39" s="61"/>
      <c r="N39" s="84"/>
    </row>
    <row r="40" spans="1:14" ht="17.25" thickBot="1">
      <c r="A40" s="89"/>
      <c r="B40" s="87"/>
      <c r="C40" s="19"/>
      <c r="D40" s="19"/>
      <c r="E40" s="74"/>
      <c r="F40" s="74"/>
      <c r="G40" s="74"/>
      <c r="H40" s="74"/>
      <c r="I40" s="19"/>
      <c r="J40" s="19"/>
      <c r="K40" s="20"/>
      <c r="L40" s="20"/>
      <c r="M40" s="20"/>
      <c r="N40" s="88"/>
    </row>
    <row r="41" spans="1:14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ht="35.25" thickBot="1">
      <c r="A42" s="17" t="s">
        <v>80</v>
      </c>
      <c r="B42" s="17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1:14">
      <c r="A43" s="488" t="s">
        <v>30</v>
      </c>
      <c r="B43" s="489" t="s">
        <v>31</v>
      </c>
      <c r="C43" s="489" t="s">
        <v>32</v>
      </c>
      <c r="D43" s="489" t="s">
        <v>33</v>
      </c>
      <c r="E43" s="491" t="s">
        <v>34</v>
      </c>
      <c r="F43" s="492"/>
      <c r="G43" s="493" t="s">
        <v>35</v>
      </c>
      <c r="H43" s="492"/>
      <c r="I43" s="493" t="s">
        <v>36</v>
      </c>
      <c r="J43" s="492"/>
      <c r="K43" s="493" t="s">
        <v>37</v>
      </c>
      <c r="L43" s="492"/>
      <c r="M43" s="494" t="s">
        <v>38</v>
      </c>
      <c r="N43" s="495"/>
    </row>
    <row r="44" spans="1:14" ht="17.25" thickBot="1">
      <c r="A44" s="475"/>
      <c r="B44" s="502"/>
      <c r="C44" s="502"/>
      <c r="D44" s="502"/>
      <c r="E44" s="74" t="s">
        <v>39</v>
      </c>
      <c r="F44" s="75" t="s">
        <v>40</v>
      </c>
      <c r="G44" s="74" t="s">
        <v>39</v>
      </c>
      <c r="H44" s="75" t="s">
        <v>40</v>
      </c>
      <c r="I44" s="74" t="s">
        <v>39</v>
      </c>
      <c r="J44" s="75" t="s">
        <v>40</v>
      </c>
      <c r="K44" s="74" t="s">
        <v>39</v>
      </c>
      <c r="L44" s="75" t="s">
        <v>40</v>
      </c>
      <c r="M44" s="75" t="s">
        <v>40</v>
      </c>
      <c r="N44" s="76" t="s">
        <v>41</v>
      </c>
    </row>
    <row r="45" spans="1:14">
      <c r="A45" s="473" t="s">
        <v>42</v>
      </c>
      <c r="B45" s="496" t="s">
        <v>43</v>
      </c>
      <c r="C45" s="497"/>
      <c r="D45" s="498"/>
      <c r="E45" s="78" t="s">
        <v>77</v>
      </c>
      <c r="F45" s="78" t="s">
        <v>77</v>
      </c>
      <c r="G45" s="80" t="s">
        <v>81</v>
      </c>
      <c r="H45" s="80" t="s">
        <v>81</v>
      </c>
      <c r="I45" s="78" t="s">
        <v>77</v>
      </c>
      <c r="J45" s="78" t="s">
        <v>77</v>
      </c>
      <c r="K45" s="78" t="s">
        <v>77</v>
      </c>
      <c r="L45" s="78" t="s">
        <v>77</v>
      </c>
      <c r="M45" s="82"/>
      <c r="N45" s="83"/>
    </row>
    <row r="46" spans="1:14">
      <c r="A46" s="474"/>
      <c r="B46" s="499"/>
      <c r="C46" s="500"/>
      <c r="D46" s="501"/>
      <c r="E46" s="78" t="s">
        <v>77</v>
      </c>
      <c r="F46" s="78" t="s">
        <v>77</v>
      </c>
      <c r="G46" s="91" t="s">
        <v>77</v>
      </c>
      <c r="H46" s="91" t="s">
        <v>77</v>
      </c>
      <c r="I46" s="78" t="s">
        <v>77</v>
      </c>
      <c r="J46" s="78" t="s">
        <v>77</v>
      </c>
      <c r="K46" s="80" t="s">
        <v>77</v>
      </c>
      <c r="L46" s="80" t="s">
        <v>77</v>
      </c>
      <c r="M46" s="61"/>
      <c r="N46" s="84"/>
    </row>
    <row r="47" spans="1:14" ht="17.25" thickBot="1">
      <c r="A47" s="475"/>
      <c r="B47" s="87"/>
      <c r="C47" s="19"/>
      <c r="D47" s="19"/>
      <c r="E47" s="92"/>
      <c r="F47" s="92"/>
      <c r="G47" s="92"/>
      <c r="H47" s="92"/>
      <c r="I47" s="29"/>
      <c r="J47" s="29"/>
      <c r="K47" s="32"/>
      <c r="L47" s="32"/>
      <c r="M47" s="20"/>
      <c r="N47" s="88"/>
    </row>
    <row r="48" spans="1:14">
      <c r="A48" s="77"/>
      <c r="B48" s="496" t="s">
        <v>43</v>
      </c>
      <c r="C48" s="497"/>
      <c r="D48" s="498"/>
      <c r="E48" s="93" t="s">
        <v>77</v>
      </c>
      <c r="F48" s="93" t="s">
        <v>77</v>
      </c>
      <c r="G48" s="94">
        <v>2280</v>
      </c>
      <c r="H48" s="93" t="s">
        <v>78</v>
      </c>
      <c r="I48" s="93" t="s">
        <v>77</v>
      </c>
      <c r="J48" s="93" t="s">
        <v>77</v>
      </c>
      <c r="K48" s="93" t="s">
        <v>77</v>
      </c>
      <c r="L48" s="93" t="s">
        <v>77</v>
      </c>
      <c r="M48" s="61"/>
      <c r="N48" s="84"/>
    </row>
    <row r="49" spans="1:14">
      <c r="A49" s="77"/>
      <c r="B49" s="499"/>
      <c r="C49" s="500"/>
      <c r="D49" s="501"/>
      <c r="E49" s="24">
        <v>2307</v>
      </c>
      <c r="F49" s="25" t="s">
        <v>82</v>
      </c>
      <c r="G49" s="25" t="s">
        <v>77</v>
      </c>
      <c r="H49" s="25" t="s">
        <v>82</v>
      </c>
      <c r="I49" s="25" t="s">
        <v>77</v>
      </c>
      <c r="J49" s="25" t="s">
        <v>77</v>
      </c>
      <c r="K49" s="25" t="s">
        <v>77</v>
      </c>
      <c r="L49" s="25" t="s">
        <v>77</v>
      </c>
      <c r="M49" s="61"/>
      <c r="N49" s="84"/>
    </row>
    <row r="50" spans="1:14">
      <c r="A50" s="23" t="s">
        <v>69</v>
      </c>
      <c r="B50" s="36" t="s">
        <v>83</v>
      </c>
      <c r="C50" s="37" t="s">
        <v>84</v>
      </c>
      <c r="D50" s="37" t="s">
        <v>82</v>
      </c>
      <c r="E50" s="30">
        <v>2390</v>
      </c>
      <c r="F50" s="32">
        <v>965</v>
      </c>
      <c r="G50" s="30">
        <v>3440</v>
      </c>
      <c r="H50" s="32">
        <v>663</v>
      </c>
      <c r="I50" s="37" t="s">
        <v>50</v>
      </c>
      <c r="J50" s="37" t="s">
        <v>50</v>
      </c>
      <c r="K50" s="32" t="s">
        <v>50</v>
      </c>
      <c r="L50" s="32" t="s">
        <v>50</v>
      </c>
      <c r="M50" s="63">
        <v>1628</v>
      </c>
      <c r="N50" s="86">
        <v>1</v>
      </c>
    </row>
    <row r="51" spans="1:14" ht="17.25" thickBot="1">
      <c r="A51" s="95"/>
      <c r="B51" s="87"/>
      <c r="C51" s="19"/>
      <c r="D51" s="19"/>
      <c r="E51" s="19"/>
      <c r="F51" s="19"/>
      <c r="G51" s="19"/>
      <c r="H51" s="20"/>
      <c r="I51" s="19"/>
      <c r="J51" s="20"/>
      <c r="K51" s="19"/>
      <c r="L51" s="19"/>
      <c r="M51" s="20"/>
      <c r="N51" s="88"/>
    </row>
  </sheetData>
  <mergeCells count="36">
    <mergeCell ref="G43:H43"/>
    <mergeCell ref="I43:J43"/>
    <mergeCell ref="K43:L43"/>
    <mergeCell ref="M43:N43"/>
    <mergeCell ref="A45:A47"/>
    <mergeCell ref="B45:D46"/>
    <mergeCell ref="E43:F43"/>
    <mergeCell ref="B48:D49"/>
    <mergeCell ref="B38:D39"/>
    <mergeCell ref="A43:A44"/>
    <mergeCell ref="B43:B44"/>
    <mergeCell ref="C43:C44"/>
    <mergeCell ref="D43:D44"/>
    <mergeCell ref="E32:F32"/>
    <mergeCell ref="G32:H32"/>
    <mergeCell ref="I32:J32"/>
    <mergeCell ref="K32:L32"/>
    <mergeCell ref="M32:N32"/>
    <mergeCell ref="A34:A37"/>
    <mergeCell ref="B34:D35"/>
    <mergeCell ref="B6:D6"/>
    <mergeCell ref="B23:D23"/>
    <mergeCell ref="A32:A33"/>
    <mergeCell ref="B32:B33"/>
    <mergeCell ref="C32:C33"/>
    <mergeCell ref="D32:D33"/>
    <mergeCell ref="A1:N1"/>
    <mergeCell ref="A4:A5"/>
    <mergeCell ref="B4:B5"/>
    <mergeCell ref="C4:C5"/>
    <mergeCell ref="D4:D5"/>
    <mergeCell ref="E4:F4"/>
    <mergeCell ref="G4:H4"/>
    <mergeCell ref="I4:J4"/>
    <mergeCell ref="K4:L4"/>
    <mergeCell ref="M4:N4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/>
  </sheetViews>
  <sheetFormatPr defaultRowHeight="16.5"/>
  <sheetData/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48566"/>
  <sheetViews>
    <sheetView zoomScaleNormal="100" workbookViewId="0">
      <selection activeCell="S16" sqref="S16"/>
    </sheetView>
  </sheetViews>
  <sheetFormatPr defaultRowHeight="16.5"/>
  <cols>
    <col min="1" max="2" width="6.625" style="98" customWidth="1"/>
    <col min="3" max="3" width="10.625" style="98" customWidth="1"/>
    <col min="4" max="4" width="4.625" customWidth="1"/>
    <col min="5" max="5" width="12.25" customWidth="1"/>
    <col min="6" max="6" width="8.625" style="242" customWidth="1"/>
    <col min="7" max="9" width="8.625" style="144" customWidth="1"/>
    <col min="10" max="11" width="8.625" style="242" customWidth="1"/>
    <col min="12" max="13" width="8.625" style="144" customWidth="1"/>
    <col min="14" max="16" width="9.625" style="145" customWidth="1"/>
    <col min="17" max="17" width="4.625" style="145" customWidth="1"/>
    <col min="18" max="18" width="8.625" style="145" customWidth="1"/>
  </cols>
  <sheetData>
    <row r="1" spans="1:18" ht="50.1" customHeight="1" thickBot="1">
      <c r="A1" s="463" t="s">
        <v>376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146"/>
    </row>
    <row r="2" spans="1:18" s="147" customFormat="1" ht="32.85" customHeight="1">
      <c r="A2" s="507" t="s">
        <v>259</v>
      </c>
      <c r="B2" s="509" t="s">
        <v>262</v>
      </c>
      <c r="C2" s="511" t="s">
        <v>277</v>
      </c>
      <c r="D2" s="505" t="s">
        <v>260</v>
      </c>
      <c r="E2" s="514" t="s">
        <v>261</v>
      </c>
      <c r="F2" s="288" t="s">
        <v>348</v>
      </c>
      <c r="G2" s="326" t="s">
        <v>349</v>
      </c>
      <c r="H2" s="326" t="s">
        <v>350</v>
      </c>
      <c r="I2" s="326" t="s">
        <v>351</v>
      </c>
      <c r="J2" s="326" t="s">
        <v>352</v>
      </c>
      <c r="K2" s="326" t="s">
        <v>353</v>
      </c>
      <c r="L2" s="277" t="s">
        <v>354</v>
      </c>
      <c r="M2" s="381" t="s">
        <v>356</v>
      </c>
      <c r="N2" s="504" t="s">
        <v>340</v>
      </c>
      <c r="O2" s="505"/>
      <c r="P2" s="505"/>
      <c r="Q2" s="506"/>
      <c r="R2" s="278"/>
    </row>
    <row r="3" spans="1:18" s="147" customFormat="1" ht="16.5" customHeight="1">
      <c r="A3" s="508"/>
      <c r="B3" s="510"/>
      <c r="C3" s="512"/>
      <c r="D3" s="513"/>
      <c r="E3" s="515"/>
      <c r="F3" s="382" t="s">
        <v>330</v>
      </c>
      <c r="G3" s="374" t="s">
        <v>331</v>
      </c>
      <c r="H3" s="345" t="s">
        <v>329</v>
      </c>
      <c r="I3" s="345" t="s">
        <v>327</v>
      </c>
      <c r="J3" s="375" t="s">
        <v>326</v>
      </c>
      <c r="K3" s="375" t="s">
        <v>328</v>
      </c>
      <c r="L3" s="345" t="s">
        <v>332</v>
      </c>
      <c r="M3" s="289" t="s">
        <v>355</v>
      </c>
      <c r="N3" s="295" t="s">
        <v>320</v>
      </c>
      <c r="O3" s="345" t="s">
        <v>321</v>
      </c>
      <c r="P3" s="345" t="s">
        <v>322</v>
      </c>
      <c r="Q3" s="289" t="s">
        <v>286</v>
      </c>
      <c r="R3" s="279"/>
    </row>
    <row r="4" spans="1:18" ht="15.75" customHeight="1">
      <c r="A4" s="376" t="s">
        <v>257</v>
      </c>
      <c r="B4" s="405"/>
      <c r="C4" s="406"/>
      <c r="D4" s="407"/>
      <c r="E4" s="408" t="s">
        <v>264</v>
      </c>
      <c r="F4" s="383">
        <v>1378</v>
      </c>
      <c r="G4" s="270">
        <v>2101</v>
      </c>
      <c r="H4" s="270">
        <v>2006</v>
      </c>
      <c r="I4" s="270">
        <v>1330</v>
      </c>
      <c r="J4" s="270">
        <v>2596</v>
      </c>
      <c r="K4" s="270">
        <v>1244</v>
      </c>
      <c r="L4" s="270">
        <v>3121</v>
      </c>
      <c r="M4" s="384">
        <v>2810</v>
      </c>
      <c r="N4" s="398"/>
      <c r="O4" s="399"/>
      <c r="P4" s="399"/>
      <c r="Q4" s="400"/>
      <c r="R4" s="283"/>
    </row>
    <row r="5" spans="1:18" ht="15.75" customHeight="1">
      <c r="A5" s="376"/>
      <c r="B5" s="385" t="s">
        <v>280</v>
      </c>
      <c r="C5" s="351" t="s">
        <v>213</v>
      </c>
      <c r="D5" s="369"/>
      <c r="E5" s="390" t="s">
        <v>279</v>
      </c>
      <c r="F5" s="328">
        <v>0</v>
      </c>
      <c r="G5" s="341">
        <f>G4/2377*1000</f>
        <v>883.88725283971394</v>
      </c>
      <c r="H5" s="268">
        <v>0</v>
      </c>
      <c r="I5" s="268">
        <v>0</v>
      </c>
      <c r="J5" s="269">
        <v>0</v>
      </c>
      <c r="K5" s="269">
        <v>0</v>
      </c>
      <c r="L5" s="269">
        <v>0</v>
      </c>
      <c r="M5" s="329">
        <v>0</v>
      </c>
      <c r="N5" s="426">
        <f>SUM(F5:M5)</f>
        <v>883.88725283971394</v>
      </c>
      <c r="O5" s="353">
        <f>L5</f>
        <v>0</v>
      </c>
      <c r="P5" s="331">
        <f>SUM(N5:O5)</f>
        <v>883.88725283971394</v>
      </c>
      <c r="Q5" s="354"/>
      <c r="R5" s="281"/>
    </row>
    <row r="6" spans="1:18" ht="15.75" customHeight="1">
      <c r="A6" s="376"/>
      <c r="B6" s="386" t="s">
        <v>275</v>
      </c>
      <c r="C6" s="349" t="s">
        <v>265</v>
      </c>
      <c r="D6" s="369">
        <v>2006</v>
      </c>
      <c r="E6" s="390" t="s">
        <v>270</v>
      </c>
      <c r="F6" s="328">
        <v>0</v>
      </c>
      <c r="G6" s="341">
        <f>G4/2101*1000</f>
        <v>1000</v>
      </c>
      <c r="H6" s="341">
        <f>H4/2270*1000</f>
        <v>883.70044052863443</v>
      </c>
      <c r="I6" s="268">
        <f>I4/1833*1000</f>
        <v>725.58647026732137</v>
      </c>
      <c r="J6" s="269">
        <v>0</v>
      </c>
      <c r="K6" s="269">
        <f>K4/1540*1000</f>
        <v>807.79220779220782</v>
      </c>
      <c r="L6" s="431">
        <f>L4/5118*1000</f>
        <v>609.80851895271587</v>
      </c>
      <c r="M6" s="546">
        <f>M4/4935*1000</f>
        <v>569.40222897669696</v>
      </c>
      <c r="N6" s="426">
        <f>G6+H6</f>
        <v>1883.7004405286343</v>
      </c>
      <c r="O6" s="433">
        <f>L6+M6</f>
        <v>1179.2107479294127</v>
      </c>
      <c r="P6" s="331">
        <f t="shared" ref="P6:P22" si="0">SUM(N6:O6)</f>
        <v>3062.911188458047</v>
      </c>
      <c r="Q6" s="548">
        <v>1</v>
      </c>
      <c r="R6" s="281"/>
    </row>
    <row r="7" spans="1:18" ht="15.75" customHeight="1">
      <c r="A7" s="376"/>
      <c r="B7" s="386" t="s">
        <v>275</v>
      </c>
      <c r="C7" s="392" t="s">
        <v>278</v>
      </c>
      <c r="D7" s="249">
        <v>2006</v>
      </c>
      <c r="E7" s="393" t="s">
        <v>258</v>
      </c>
      <c r="F7" s="328">
        <v>0</v>
      </c>
      <c r="G7" s="268">
        <v>0</v>
      </c>
      <c r="H7" s="308" t="s">
        <v>313</v>
      </c>
      <c r="I7" s="341">
        <f>I4/1902*1000</f>
        <v>699.26393270241851</v>
      </c>
      <c r="J7" s="269">
        <v>0</v>
      </c>
      <c r="K7" s="269">
        <v>0</v>
      </c>
      <c r="L7" s="431">
        <f>L4/3121*1000</f>
        <v>1000</v>
      </c>
      <c r="M7" s="547" t="s">
        <v>313</v>
      </c>
      <c r="N7" s="426">
        <f>I7</f>
        <v>699.26393270241851</v>
      </c>
      <c r="O7" s="433">
        <f>L7</f>
        <v>1000</v>
      </c>
      <c r="P7" s="331">
        <f>SUM(N7:O7)</f>
        <v>1699.2639327024185</v>
      </c>
      <c r="Q7" s="549">
        <v>2</v>
      </c>
      <c r="R7" s="280"/>
    </row>
    <row r="8" spans="1:18" ht="15.75" customHeight="1">
      <c r="A8" s="377"/>
      <c r="B8" s="386" t="s">
        <v>275</v>
      </c>
      <c r="C8" s="378" t="s">
        <v>364</v>
      </c>
      <c r="D8" s="250">
        <v>2005</v>
      </c>
      <c r="E8" s="391" t="s">
        <v>295</v>
      </c>
      <c r="F8" s="328">
        <v>0</v>
      </c>
      <c r="G8" s="268">
        <v>0</v>
      </c>
      <c r="H8" s="268">
        <v>0</v>
      </c>
      <c r="I8" s="268">
        <v>0</v>
      </c>
      <c r="J8" s="269">
        <v>0</v>
      </c>
      <c r="K8" s="361">
        <f>K4/1608*1000</f>
        <v>773.6318407960199</v>
      </c>
      <c r="L8" s="269">
        <v>0</v>
      </c>
      <c r="M8" s="329">
        <v>0</v>
      </c>
      <c r="N8" s="426">
        <f>K8</f>
        <v>773.6318407960199</v>
      </c>
      <c r="O8" s="353">
        <f t="shared" ref="O8:O23" si="1">L8</f>
        <v>0</v>
      </c>
      <c r="P8" s="331">
        <f>SUM(N8:O8)</f>
        <v>773.6318407960199</v>
      </c>
      <c r="Q8" s="373"/>
      <c r="R8" s="280"/>
    </row>
    <row r="9" spans="1:18" ht="15.75" customHeight="1">
      <c r="A9" s="377"/>
      <c r="B9" s="386" t="s">
        <v>275</v>
      </c>
      <c r="C9" s="378" t="s">
        <v>377</v>
      </c>
      <c r="D9" s="250">
        <v>2005</v>
      </c>
      <c r="E9" s="391" t="s">
        <v>378</v>
      </c>
      <c r="F9" s="328">
        <v>0</v>
      </c>
      <c r="G9" s="268">
        <v>0</v>
      </c>
      <c r="H9" s="268">
        <v>0</v>
      </c>
      <c r="I9" s="268">
        <v>0</v>
      </c>
      <c r="J9" s="269">
        <v>0</v>
      </c>
      <c r="K9" s="269">
        <v>0</v>
      </c>
      <c r="L9" s="269">
        <v>0</v>
      </c>
      <c r="M9" s="546">
        <f>M4/2810*1000</f>
        <v>1000</v>
      </c>
      <c r="N9" s="426"/>
      <c r="O9" s="433">
        <f>L9+M9</f>
        <v>1000</v>
      </c>
      <c r="P9" s="331">
        <f>SUM(N9:O9)</f>
        <v>1000</v>
      </c>
      <c r="Q9" s="373"/>
      <c r="R9" s="280"/>
    </row>
    <row r="10" spans="1:18" ht="15.75" customHeight="1">
      <c r="A10" s="377"/>
      <c r="B10" s="386" t="s">
        <v>275</v>
      </c>
      <c r="C10" s="378" t="s">
        <v>345</v>
      </c>
      <c r="D10" s="250"/>
      <c r="E10" s="391" t="s">
        <v>279</v>
      </c>
      <c r="F10" s="328">
        <v>0</v>
      </c>
      <c r="G10" s="268">
        <v>0</v>
      </c>
      <c r="H10" s="268">
        <v>0</v>
      </c>
      <c r="I10" s="341">
        <f>I4/2089*1000</f>
        <v>636.66826232647202</v>
      </c>
      <c r="J10" s="269">
        <v>0</v>
      </c>
      <c r="K10" s="269">
        <v>0</v>
      </c>
      <c r="L10" s="269">
        <v>0</v>
      </c>
      <c r="M10" s="329">
        <v>0</v>
      </c>
      <c r="N10" s="426">
        <f>I10</f>
        <v>636.66826232647202</v>
      </c>
      <c r="O10" s="353">
        <f t="shared" si="1"/>
        <v>0</v>
      </c>
      <c r="P10" s="331">
        <f>SUM(N10:O10)</f>
        <v>636.66826232647202</v>
      </c>
      <c r="Q10" s="373"/>
      <c r="R10" s="280"/>
    </row>
    <row r="11" spans="1:18" ht="15.75" customHeight="1">
      <c r="A11" s="377"/>
      <c r="B11" s="386" t="s">
        <v>275</v>
      </c>
      <c r="C11" s="378" t="s">
        <v>346</v>
      </c>
      <c r="D11" s="250"/>
      <c r="E11" s="391" t="s">
        <v>279</v>
      </c>
      <c r="F11" s="328">
        <v>0</v>
      </c>
      <c r="G11" s="268">
        <v>0</v>
      </c>
      <c r="H11" s="268">
        <v>0</v>
      </c>
      <c r="I11" s="341">
        <f>I4/2153*1000</f>
        <v>617.74268462610314</v>
      </c>
      <c r="J11" s="269">
        <v>0</v>
      </c>
      <c r="K11" s="269">
        <v>0</v>
      </c>
      <c r="L11" s="269">
        <v>0</v>
      </c>
      <c r="M11" s="329">
        <v>0</v>
      </c>
      <c r="N11" s="426">
        <f>I11</f>
        <v>617.74268462610314</v>
      </c>
      <c r="O11" s="353">
        <f t="shared" si="1"/>
        <v>0</v>
      </c>
      <c r="P11" s="331">
        <f>SUM(N11:O11)</f>
        <v>617.74268462610314</v>
      </c>
      <c r="Q11" s="373"/>
      <c r="R11" s="280"/>
    </row>
    <row r="12" spans="1:18" ht="15.75" customHeight="1">
      <c r="A12" s="377"/>
      <c r="B12" s="386" t="s">
        <v>275</v>
      </c>
      <c r="C12" s="378" t="s">
        <v>284</v>
      </c>
      <c r="D12" s="250"/>
      <c r="E12" s="391" t="s">
        <v>283</v>
      </c>
      <c r="F12" s="344">
        <f>F4/2576*1000</f>
        <v>534.93788819875772</v>
      </c>
      <c r="G12" s="268">
        <v>0</v>
      </c>
      <c r="H12" s="268">
        <v>0</v>
      </c>
      <c r="I12" s="268">
        <v>0</v>
      </c>
      <c r="J12" s="269">
        <v>0</v>
      </c>
      <c r="K12" s="269">
        <v>0</v>
      </c>
      <c r="L12" s="269">
        <v>0</v>
      </c>
      <c r="M12" s="329">
        <v>0</v>
      </c>
      <c r="N12" s="426">
        <f>SUM(F12:M12)</f>
        <v>534.93788819875772</v>
      </c>
      <c r="O12" s="353">
        <f t="shared" si="1"/>
        <v>0</v>
      </c>
      <c r="P12" s="331">
        <f>SUM(N12:O12)</f>
        <v>534.93788819875772</v>
      </c>
      <c r="Q12" s="373"/>
      <c r="R12" s="280"/>
    </row>
    <row r="13" spans="1:18" ht="15.75" customHeight="1">
      <c r="A13" s="377"/>
      <c r="B13" s="386" t="s">
        <v>275</v>
      </c>
      <c r="C13" s="378" t="s">
        <v>373</v>
      </c>
      <c r="D13" s="250"/>
      <c r="E13" s="391" t="s">
        <v>279</v>
      </c>
      <c r="F13" s="328">
        <v>0</v>
      </c>
      <c r="G13" s="268">
        <v>0</v>
      </c>
      <c r="H13" s="268">
        <v>0</v>
      </c>
      <c r="I13" s="308">
        <v>0</v>
      </c>
      <c r="J13" s="269">
        <v>0</v>
      </c>
      <c r="K13" s="269">
        <v>0</v>
      </c>
      <c r="L13" s="431">
        <f>L4/5067*1000</f>
        <v>615.94631932109735</v>
      </c>
      <c r="M13" s="329">
        <v>0</v>
      </c>
      <c r="N13" s="330">
        <v>0</v>
      </c>
      <c r="O13" s="433">
        <f>L13+M13</f>
        <v>615.94631932109735</v>
      </c>
      <c r="P13" s="331">
        <f>SUM(N13:O13)</f>
        <v>615.94631932109735</v>
      </c>
      <c r="Q13" s="373"/>
      <c r="R13" s="280"/>
    </row>
    <row r="14" spans="1:18" ht="15.75" customHeight="1">
      <c r="A14" s="377"/>
      <c r="B14" s="386" t="s">
        <v>275</v>
      </c>
      <c r="C14" s="378" t="s">
        <v>372</v>
      </c>
      <c r="D14" s="250"/>
      <c r="E14" s="391" t="s">
        <v>279</v>
      </c>
      <c r="F14" s="328">
        <v>0</v>
      </c>
      <c r="G14" s="268">
        <v>0</v>
      </c>
      <c r="H14" s="268">
        <v>0</v>
      </c>
      <c r="I14" s="268">
        <v>0</v>
      </c>
      <c r="J14" s="269">
        <v>0</v>
      </c>
      <c r="K14" s="269">
        <v>0</v>
      </c>
      <c r="L14" s="431">
        <f>L4/4180*1000</f>
        <v>746.65071770334919</v>
      </c>
      <c r="M14" s="546">
        <f>M4/3302*1000</f>
        <v>850.99939430648101</v>
      </c>
      <c r="N14" s="330">
        <v>0</v>
      </c>
      <c r="O14" s="433">
        <f>L14+M14</f>
        <v>1597.6501120098301</v>
      </c>
      <c r="P14" s="331">
        <f>SUM(N14:O14)</f>
        <v>1597.6501120098301</v>
      </c>
      <c r="Q14" s="373"/>
      <c r="R14" s="280"/>
    </row>
    <row r="15" spans="1:18" ht="15.75" customHeight="1">
      <c r="A15" s="377"/>
      <c r="B15" s="386" t="s">
        <v>275</v>
      </c>
      <c r="C15" s="378" t="s">
        <v>347</v>
      </c>
      <c r="D15" s="250"/>
      <c r="E15" s="391" t="s">
        <v>279</v>
      </c>
      <c r="F15" s="328">
        <v>0</v>
      </c>
      <c r="G15" s="268">
        <v>0</v>
      </c>
      <c r="H15" s="268">
        <v>0</v>
      </c>
      <c r="I15" s="308" t="s">
        <v>313</v>
      </c>
      <c r="J15" s="269">
        <v>0</v>
      </c>
      <c r="K15" s="269">
        <v>0</v>
      </c>
      <c r="L15" s="269">
        <v>0</v>
      </c>
      <c r="M15" s="329">
        <v>0</v>
      </c>
      <c r="N15" s="330">
        <v>0</v>
      </c>
      <c r="O15" s="353">
        <f t="shared" si="1"/>
        <v>0</v>
      </c>
      <c r="P15" s="331">
        <f t="shared" ref="P15" si="2">SUM(N15:O15)</f>
        <v>0</v>
      </c>
      <c r="Q15" s="373"/>
      <c r="R15" s="280"/>
    </row>
    <row r="16" spans="1:18" ht="15.75" customHeight="1">
      <c r="A16" s="376"/>
      <c r="B16" s="387" t="s">
        <v>274</v>
      </c>
      <c r="C16" s="378" t="s">
        <v>266</v>
      </c>
      <c r="D16" s="249">
        <v>2007</v>
      </c>
      <c r="E16" s="393" t="s">
        <v>269</v>
      </c>
      <c r="F16" s="328">
        <f>F4/1427*1000</f>
        <v>965.66222845129641</v>
      </c>
      <c r="G16" s="268">
        <v>0</v>
      </c>
      <c r="H16" s="341">
        <f>H4/2006*1000</f>
        <v>1000</v>
      </c>
      <c r="I16" s="341">
        <f>I4/1330*1000</f>
        <v>1000</v>
      </c>
      <c r="J16" s="269">
        <f>J4/2596*1000</f>
        <v>1000</v>
      </c>
      <c r="K16" s="269">
        <f>K4/1244*1000</f>
        <v>1000</v>
      </c>
      <c r="L16" s="431">
        <f>L4/3893*1000</f>
        <v>801.69535062933471</v>
      </c>
      <c r="M16" s="546">
        <f>M4/3384*1000</f>
        <v>830.37825059101658</v>
      </c>
      <c r="N16" s="426">
        <f>H16+I16</f>
        <v>2000</v>
      </c>
      <c r="O16" s="433">
        <f>L16+M16</f>
        <v>1632.0736012203513</v>
      </c>
      <c r="P16" s="331">
        <f>SUM(N16:O16)</f>
        <v>3632.0736012203515</v>
      </c>
      <c r="Q16" s="550">
        <v>1</v>
      </c>
      <c r="R16" s="280"/>
    </row>
    <row r="17" spans="1:18" ht="15.75" customHeight="1">
      <c r="A17" s="377"/>
      <c r="B17" s="387" t="s">
        <v>274</v>
      </c>
      <c r="C17" s="378" t="s">
        <v>333</v>
      </c>
      <c r="D17" s="250">
        <v>2009</v>
      </c>
      <c r="E17" s="391" t="s">
        <v>283</v>
      </c>
      <c r="F17" s="328">
        <v>0</v>
      </c>
      <c r="G17" s="268">
        <v>0</v>
      </c>
      <c r="H17" s="268">
        <f>H4/3279*1000</f>
        <v>611.7718816712412</v>
      </c>
      <c r="I17" s="268">
        <f>I4/1439*1000</f>
        <v>924.25295343988876</v>
      </c>
      <c r="J17" s="361">
        <f>J4/2719*1000</f>
        <v>954.76278043398315</v>
      </c>
      <c r="K17" s="361">
        <f>K4/1296*1000</f>
        <v>959.87654320987656</v>
      </c>
      <c r="L17" s="431">
        <f>L4/3288*1000</f>
        <v>949.20924574209243</v>
      </c>
      <c r="M17" s="546">
        <f>M4/3928*1000</f>
        <v>715.37678207739305</v>
      </c>
      <c r="N17" s="426">
        <f>J17+K17</f>
        <v>1914.6393236438598</v>
      </c>
      <c r="O17" s="433">
        <f t="shared" ref="O17" si="3">L17+M17</f>
        <v>1664.5860278194855</v>
      </c>
      <c r="P17" s="331">
        <f>SUM(N17:O17)</f>
        <v>3579.2253514633453</v>
      </c>
      <c r="Q17" s="550">
        <v>2</v>
      </c>
      <c r="R17" s="280"/>
    </row>
    <row r="18" spans="1:18" ht="15.75" customHeight="1">
      <c r="A18" s="377"/>
      <c r="B18" s="387" t="s">
        <v>274</v>
      </c>
      <c r="C18" s="378" t="s">
        <v>282</v>
      </c>
      <c r="D18" s="250">
        <v>2008</v>
      </c>
      <c r="E18" s="391" t="s">
        <v>342</v>
      </c>
      <c r="F18" s="344">
        <f>F4/F4*1000</f>
        <v>1000</v>
      </c>
      <c r="G18" s="268">
        <v>0</v>
      </c>
      <c r="H18" s="268">
        <v>0</v>
      </c>
      <c r="I18" s="268">
        <v>0</v>
      </c>
      <c r="J18" s="361">
        <f>J4/3887*1000</f>
        <v>667.86724980704912</v>
      </c>
      <c r="K18" s="269">
        <v>0</v>
      </c>
      <c r="L18" s="269">
        <v>0</v>
      </c>
      <c r="M18" s="329">
        <v>0</v>
      </c>
      <c r="N18" s="426">
        <f>F18+J18</f>
        <v>1667.8672498070491</v>
      </c>
      <c r="O18" s="353">
        <f t="shared" si="1"/>
        <v>0</v>
      </c>
      <c r="P18" s="331">
        <f t="shared" si="0"/>
        <v>1667.8672498070491</v>
      </c>
      <c r="Q18" s="355"/>
      <c r="R18" s="280"/>
    </row>
    <row r="19" spans="1:18" ht="15.75" customHeight="1">
      <c r="A19" s="378" t="s">
        <v>263</v>
      </c>
      <c r="B19" s="405"/>
      <c r="C19" s="406"/>
      <c r="D19" s="407"/>
      <c r="E19" s="408" t="s">
        <v>264</v>
      </c>
      <c r="F19" s="383">
        <v>1379</v>
      </c>
      <c r="G19" s="271">
        <v>1536</v>
      </c>
      <c r="H19" s="270">
        <v>1950</v>
      </c>
      <c r="I19" s="271">
        <v>1192</v>
      </c>
      <c r="J19" s="270">
        <v>1824</v>
      </c>
      <c r="K19" s="270">
        <v>1608</v>
      </c>
      <c r="L19" s="270">
        <v>4141</v>
      </c>
      <c r="M19" s="384">
        <v>3226</v>
      </c>
      <c r="N19" s="401"/>
      <c r="O19" s="402"/>
      <c r="P19" s="403">
        <f t="shared" si="0"/>
        <v>0</v>
      </c>
      <c r="Q19" s="404"/>
      <c r="R19" s="284"/>
    </row>
    <row r="20" spans="1:18" ht="15.75" customHeight="1">
      <c r="A20" s="377"/>
      <c r="B20" s="386" t="s">
        <v>272</v>
      </c>
      <c r="C20" s="349" t="s">
        <v>268</v>
      </c>
      <c r="D20" s="257">
        <v>2004</v>
      </c>
      <c r="E20" s="394" t="s">
        <v>270</v>
      </c>
      <c r="F20" s="344">
        <f>F19/1379*1000</f>
        <v>1000</v>
      </c>
      <c r="G20" s="268">
        <v>0</v>
      </c>
      <c r="H20" s="268">
        <v>0</v>
      </c>
      <c r="I20" s="268">
        <f>I19/1499*1000</f>
        <v>795.19679786524341</v>
      </c>
      <c r="J20" s="269">
        <v>0</v>
      </c>
      <c r="K20" s="361">
        <f>K19/1631*1000</f>
        <v>985.89822194972407</v>
      </c>
      <c r="L20" s="431">
        <f>L19/4141*1000</f>
        <v>1000</v>
      </c>
      <c r="M20" s="546">
        <f>M19/3226*1000</f>
        <v>1000</v>
      </c>
      <c r="N20" s="426">
        <f>F20+K20</f>
        <v>1985.8982219497241</v>
      </c>
      <c r="O20" s="433">
        <f>L20+M20</f>
        <v>2000</v>
      </c>
      <c r="P20" s="331">
        <f>SUM(N20:O20)</f>
        <v>3985.8982219497238</v>
      </c>
      <c r="Q20" s="549">
        <v>1</v>
      </c>
      <c r="R20" s="280"/>
    </row>
    <row r="21" spans="1:18" ht="15.75" customHeight="1">
      <c r="A21" s="377"/>
      <c r="B21" s="385" t="s">
        <v>273</v>
      </c>
      <c r="C21" s="351" t="s">
        <v>248</v>
      </c>
      <c r="D21" s="257">
        <v>2005</v>
      </c>
      <c r="E21" s="394" t="s">
        <v>279</v>
      </c>
      <c r="F21" s="328">
        <v>0</v>
      </c>
      <c r="G21" s="268">
        <v>0</v>
      </c>
      <c r="H21" s="341">
        <f>H19/3398*1000</f>
        <v>573.86698057680985</v>
      </c>
      <c r="I21" s="268">
        <f>I19/2322*1000</f>
        <v>513.35055986218777</v>
      </c>
      <c r="J21" s="269">
        <v>0</v>
      </c>
      <c r="K21" s="361">
        <f>K19/1801*1000</f>
        <v>892.83731260410877</v>
      </c>
      <c r="L21" s="431">
        <f>L19/4903*1000</f>
        <v>844.58494799102596</v>
      </c>
      <c r="M21" s="329">
        <v>0</v>
      </c>
      <c r="N21" s="426">
        <f>H21+K21</f>
        <v>1466.7042931809187</v>
      </c>
      <c r="O21" s="433">
        <f t="shared" ref="O21:O23" si="4">L21+M21</f>
        <v>844.58494799102596</v>
      </c>
      <c r="P21" s="331">
        <f t="shared" si="0"/>
        <v>2311.2892411719449</v>
      </c>
      <c r="Q21" s="551">
        <v>1</v>
      </c>
      <c r="R21" s="281"/>
    </row>
    <row r="22" spans="1:18" ht="15.75" customHeight="1">
      <c r="A22" s="377"/>
      <c r="B22" s="386" t="s">
        <v>276</v>
      </c>
      <c r="C22" s="349" t="s">
        <v>267</v>
      </c>
      <c r="D22" s="257">
        <v>2007</v>
      </c>
      <c r="E22" s="395" t="s">
        <v>269</v>
      </c>
      <c r="F22" s="328">
        <v>0</v>
      </c>
      <c r="G22" s="341">
        <f>G19/1536*1000</f>
        <v>1000</v>
      </c>
      <c r="H22" s="341">
        <f>H19/1950*1000</f>
        <v>1000</v>
      </c>
      <c r="I22" s="268">
        <f>I19/1192*1000</f>
        <v>1000</v>
      </c>
      <c r="J22" s="269">
        <f>J19/1824*1000</f>
        <v>1000</v>
      </c>
      <c r="K22" s="269">
        <f>K19/1608*1000</f>
        <v>1000</v>
      </c>
      <c r="L22" s="431">
        <f>L19/4628*1000</f>
        <v>894.77095937770093</v>
      </c>
      <c r="M22" s="546">
        <f>M19/3569*1000</f>
        <v>903.89464836088541</v>
      </c>
      <c r="N22" s="426">
        <f>G22+H22</f>
        <v>2000</v>
      </c>
      <c r="O22" s="433">
        <f t="shared" si="4"/>
        <v>1798.6656077385865</v>
      </c>
      <c r="P22" s="331">
        <f t="shared" si="0"/>
        <v>3798.6656077385865</v>
      </c>
      <c r="Q22" s="548">
        <v>1</v>
      </c>
      <c r="R22" s="281"/>
    </row>
    <row r="23" spans="1:18" ht="15.75" customHeight="1">
      <c r="A23" s="377"/>
      <c r="B23" s="388" t="s">
        <v>276</v>
      </c>
      <c r="C23" s="350" t="s">
        <v>285</v>
      </c>
      <c r="D23" s="257">
        <v>2009</v>
      </c>
      <c r="E23" s="396" t="s">
        <v>283</v>
      </c>
      <c r="F23" s="328">
        <f>F19/2018*1000</f>
        <v>683.34985133795828</v>
      </c>
      <c r="G23" s="268">
        <v>0</v>
      </c>
      <c r="H23" s="268">
        <f>H19/3859*1000</f>
        <v>505.31225706141493</v>
      </c>
      <c r="I23" s="308" t="s">
        <v>313</v>
      </c>
      <c r="J23" s="341">
        <f>J4/3795*1000</f>
        <v>684.05797101449275</v>
      </c>
      <c r="K23" s="341">
        <f>K19/1983*1000</f>
        <v>810.89258698941001</v>
      </c>
      <c r="L23" s="448">
        <f>L19/4956*1000</f>
        <v>835.55286521388211</v>
      </c>
      <c r="M23" s="552">
        <f>M19/3679*1000</f>
        <v>876.86871432454473</v>
      </c>
      <c r="N23" s="426">
        <f>J23+K23</f>
        <v>1494.9505580039026</v>
      </c>
      <c r="O23" s="433">
        <f t="shared" si="4"/>
        <v>1712.4215795384268</v>
      </c>
      <c r="P23" s="331">
        <f>SUM(N23:O23)</f>
        <v>3207.3721375423293</v>
      </c>
      <c r="Q23" s="549">
        <v>2</v>
      </c>
      <c r="R23" s="282"/>
    </row>
    <row r="24" spans="1:18" ht="15.75" customHeight="1" thickBot="1">
      <c r="A24" s="379"/>
      <c r="B24" s="389"/>
      <c r="C24" s="352"/>
      <c r="D24" s="337"/>
      <c r="E24" s="397"/>
      <c r="F24" s="338"/>
      <c r="G24" s="274"/>
      <c r="H24" s="274"/>
      <c r="I24" s="274"/>
      <c r="J24" s="340"/>
      <c r="K24" s="340"/>
      <c r="L24" s="340"/>
      <c r="M24" s="339"/>
      <c r="N24" s="380"/>
      <c r="O24" s="357"/>
      <c r="P24" s="348"/>
      <c r="Q24" s="358"/>
      <c r="R24" s="280"/>
    </row>
    <row r="25" spans="1:18" ht="15.75" customHeight="1">
      <c r="A25" s="261"/>
      <c r="B25" s="262"/>
      <c r="C25" s="263"/>
      <c r="D25" s="264"/>
      <c r="E25" s="264"/>
      <c r="F25" s="265"/>
      <c r="G25" s="265"/>
      <c r="H25" s="265"/>
      <c r="I25" s="265"/>
      <c r="J25" s="265"/>
      <c r="K25" s="265"/>
      <c r="L25" s="265"/>
      <c r="M25" s="265"/>
      <c r="N25" s="266"/>
      <c r="O25" s="266"/>
      <c r="P25" s="266"/>
      <c r="Q25" s="266"/>
      <c r="R25" s="266"/>
    </row>
    <row r="26" spans="1:18" ht="9.75" customHeight="1">
      <c r="A26" s="261"/>
      <c r="B26" s="363"/>
      <c r="C26" s="364"/>
      <c r="D26" s="364"/>
      <c r="E26" s="364"/>
      <c r="F26" s="364"/>
      <c r="G26" s="364"/>
      <c r="H26" s="265"/>
      <c r="I26" s="265"/>
      <c r="J26" s="265"/>
      <c r="K26" s="265"/>
      <c r="L26" s="265"/>
      <c r="M26" s="265"/>
      <c r="N26" s="266"/>
      <c r="O26" s="266"/>
      <c r="P26" s="266"/>
      <c r="Q26" s="266"/>
      <c r="R26" s="266"/>
    </row>
    <row r="27" spans="1:18" ht="15" customHeight="1">
      <c r="A27" s="235"/>
      <c r="B27" s="346" t="s">
        <v>341</v>
      </c>
      <c r="C27" s="235"/>
      <c r="D27" s="233"/>
      <c r="E27" s="235"/>
      <c r="F27" s="239"/>
      <c r="G27" s="239"/>
      <c r="H27" s="239"/>
      <c r="I27" s="239"/>
      <c r="J27" s="239"/>
      <c r="K27" s="239"/>
      <c r="L27" s="239"/>
      <c r="M27" s="239"/>
      <c r="N27" s="238"/>
      <c r="O27" s="238"/>
      <c r="P27" s="238"/>
      <c r="Q27" s="238"/>
      <c r="R27" s="238"/>
    </row>
    <row r="28" spans="1:18">
      <c r="B28" s="347" t="s">
        <v>365</v>
      </c>
    </row>
    <row r="29" spans="1:18">
      <c r="B29" s="98" t="s">
        <v>366</v>
      </c>
    </row>
    <row r="30" spans="1:18">
      <c r="B30" s="98" t="s">
        <v>367</v>
      </c>
    </row>
    <row r="1048566" spans="17:17">
      <c r="Q1048566" s="145">
        <f>SUM(Q1:Q1048565)</f>
        <v>11</v>
      </c>
    </row>
  </sheetData>
  <sortState xmlns:xlrd2="http://schemas.microsoft.com/office/spreadsheetml/2017/richdata2" ref="A1:B19">
    <sortCondition descending="1" ref="B1:B19"/>
  </sortState>
  <mergeCells count="7">
    <mergeCell ref="A1:Q1"/>
    <mergeCell ref="N2:Q2"/>
    <mergeCell ref="A2:A3"/>
    <mergeCell ref="B2:B3"/>
    <mergeCell ref="C2:C3"/>
    <mergeCell ref="D2:D3"/>
    <mergeCell ref="E2:E3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5114-7553-434C-A47D-84ACED3FD5A7}">
  <dimension ref="B1:S59"/>
  <sheetViews>
    <sheetView tabSelected="1" topLeftCell="A16" workbookViewId="0">
      <selection activeCell="W31" sqref="W31"/>
    </sheetView>
  </sheetViews>
  <sheetFormatPr defaultRowHeight="16.5"/>
  <cols>
    <col min="1" max="1" width="2" customWidth="1"/>
    <col min="2" max="2" width="6.625" style="98" customWidth="1"/>
    <col min="3" max="3" width="10.625" style="98" customWidth="1"/>
    <col min="4" max="4" width="10.875" customWidth="1"/>
    <col min="5" max="5" width="8.625" style="242" customWidth="1"/>
    <col min="6" max="8" width="8.625" style="144" customWidth="1"/>
    <col min="9" max="12" width="8.625" style="242" customWidth="1"/>
    <col min="13" max="14" width="8.625" style="240" customWidth="1"/>
    <col min="15" max="15" width="9.375" style="240" customWidth="1"/>
    <col min="16" max="16" width="8.625" style="143" customWidth="1"/>
    <col min="17" max="17" width="10.125" style="145" customWidth="1"/>
    <col min="18" max="19" width="8.625" style="145" customWidth="1"/>
  </cols>
  <sheetData>
    <row r="1" spans="2:19" ht="50.1" customHeight="1" thickBot="1">
      <c r="B1" s="463" t="s">
        <v>324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146"/>
    </row>
    <row r="2" spans="2:19" s="147" customFormat="1" ht="32.85" customHeight="1">
      <c r="B2" s="520" t="s">
        <v>259</v>
      </c>
      <c r="C2" s="522" t="s">
        <v>277</v>
      </c>
      <c r="D2" s="524" t="s">
        <v>261</v>
      </c>
      <c r="E2" s="254" t="s">
        <v>348</v>
      </c>
      <c r="F2" s="254" t="s">
        <v>349</v>
      </c>
      <c r="G2" s="254" t="s">
        <v>350</v>
      </c>
      <c r="H2" s="254" t="s">
        <v>351</v>
      </c>
      <c r="I2" s="326" t="s">
        <v>352</v>
      </c>
      <c r="J2" s="326" t="s">
        <v>353</v>
      </c>
      <c r="K2" s="326" t="s">
        <v>354</v>
      </c>
      <c r="L2" s="253" t="s">
        <v>356</v>
      </c>
      <c r="M2" s="516" t="s">
        <v>338</v>
      </c>
      <c r="N2" s="516"/>
      <c r="O2" s="516"/>
      <c r="P2" s="516"/>
      <c r="Q2" s="517" t="s">
        <v>339</v>
      </c>
      <c r="R2" s="506"/>
      <c r="S2" s="278"/>
    </row>
    <row r="3" spans="2:19" s="147" customFormat="1" ht="16.5" customHeight="1" thickBot="1">
      <c r="B3" s="521"/>
      <c r="C3" s="523"/>
      <c r="D3" s="525"/>
      <c r="E3" s="255" t="s">
        <v>330</v>
      </c>
      <c r="F3" s="327" t="s">
        <v>331</v>
      </c>
      <c r="G3" s="327" t="s">
        <v>329</v>
      </c>
      <c r="H3" s="336" t="s">
        <v>327</v>
      </c>
      <c r="I3" s="365" t="s">
        <v>326</v>
      </c>
      <c r="J3" s="366" t="s">
        <v>328</v>
      </c>
      <c r="K3" s="365" t="s">
        <v>332</v>
      </c>
      <c r="L3" s="365" t="s">
        <v>371</v>
      </c>
      <c r="M3" s="294" t="s">
        <v>320</v>
      </c>
      <c r="N3" s="319" t="s">
        <v>321</v>
      </c>
      <c r="O3" s="321" t="s">
        <v>322</v>
      </c>
      <c r="P3" s="322" t="s">
        <v>286</v>
      </c>
      <c r="Q3" s="313" t="s">
        <v>271</v>
      </c>
      <c r="R3" s="314" t="s">
        <v>286</v>
      </c>
      <c r="S3" s="279"/>
    </row>
    <row r="4" spans="2:19" ht="15.75" customHeight="1">
      <c r="B4" s="335" t="s">
        <v>287</v>
      </c>
      <c r="C4" s="248"/>
      <c r="D4" s="252" t="s">
        <v>264</v>
      </c>
      <c r="E4" s="267">
        <v>1484</v>
      </c>
      <c r="F4" s="267">
        <v>1594</v>
      </c>
      <c r="G4" s="267">
        <v>2342</v>
      </c>
      <c r="H4" s="267">
        <v>1648</v>
      </c>
      <c r="I4" s="267">
        <v>2261</v>
      </c>
      <c r="J4" s="267">
        <v>1481</v>
      </c>
      <c r="K4" s="267">
        <v>3428</v>
      </c>
      <c r="L4" s="267">
        <v>2790</v>
      </c>
      <c r="M4" s="325" t="s">
        <v>323</v>
      </c>
      <c r="N4" s="434" t="s">
        <v>325</v>
      </c>
      <c r="O4" s="317"/>
      <c r="P4" s="285"/>
      <c r="Q4" s="311"/>
      <c r="R4" s="312"/>
      <c r="S4" s="283"/>
    </row>
    <row r="5" spans="2:19" ht="15.75" customHeight="1">
      <c r="B5" s="333"/>
      <c r="C5" s="295" t="s">
        <v>289</v>
      </c>
      <c r="D5" s="296" t="s">
        <v>279</v>
      </c>
      <c r="E5" s="341">
        <f>E4/1484*1000</f>
        <v>1000</v>
      </c>
      <c r="F5" s="341">
        <f>F4/1594*1000</f>
        <v>1000</v>
      </c>
      <c r="G5" s="341">
        <f>G4/2342*1000</f>
        <v>1000</v>
      </c>
      <c r="H5" s="268">
        <f>H4/1648*1000</f>
        <v>1000</v>
      </c>
      <c r="I5" s="269">
        <f>I4/2312*1000</f>
        <v>977.94117647058818</v>
      </c>
      <c r="J5" s="269">
        <f>J4/1511*1000</f>
        <v>980.14559894109868</v>
      </c>
      <c r="K5" s="431">
        <f>K4/4003*1000</f>
        <v>856.35773170122411</v>
      </c>
      <c r="L5" s="431">
        <f>L4/3115*1000</f>
        <v>895.66613162118779</v>
      </c>
      <c r="M5" s="426">
        <f>E5*1.2+F5*1.2+G5*1.2</f>
        <v>3600</v>
      </c>
      <c r="N5" s="433">
        <f>K5+L5</f>
        <v>1752.0238633224119</v>
      </c>
      <c r="O5" s="332">
        <f t="shared" ref="O5:O18" si="0">M5+N5</f>
        <v>5352.0238633224117</v>
      </c>
      <c r="P5" s="367">
        <v>1</v>
      </c>
      <c r="Q5" s="290"/>
      <c r="R5" s="291"/>
      <c r="S5" s="281"/>
    </row>
    <row r="6" spans="2:19" ht="15.75" customHeight="1">
      <c r="B6" s="333"/>
      <c r="C6" s="256" t="s">
        <v>293</v>
      </c>
      <c r="D6" s="297" t="s">
        <v>279</v>
      </c>
      <c r="E6" s="341">
        <f>E4/1657*1000</f>
        <v>895.59444779722389</v>
      </c>
      <c r="F6" s="268">
        <f>F4/2030*1000</f>
        <v>785.22167487684726</v>
      </c>
      <c r="G6" s="341">
        <f>G4/2626*1000</f>
        <v>891.85072353389182</v>
      </c>
      <c r="H6" s="341">
        <f>H4/1978*1000</f>
        <v>833.16481294236598</v>
      </c>
      <c r="I6" s="269">
        <f>I4/2894*1000</f>
        <v>781.27159640635807</v>
      </c>
      <c r="J6" s="359" t="s">
        <v>313</v>
      </c>
      <c r="K6" s="431">
        <f>K4/3428*1000</f>
        <v>1000</v>
      </c>
      <c r="L6" s="431">
        <f>L4/2912*1000</f>
        <v>958.10439560439568</v>
      </c>
      <c r="M6" s="426">
        <f>E6*1.2+G6*1.2+H6*1.2</f>
        <v>3144.7319811281777</v>
      </c>
      <c r="N6" s="433">
        <f t="shared" ref="N6:N10" si="1">K6+L6</f>
        <v>1958.1043956043957</v>
      </c>
      <c r="O6" s="332">
        <f t="shared" ref="O6:O12" si="2">M6+N6</f>
        <v>5102.8363767325736</v>
      </c>
      <c r="P6" s="368">
        <v>2</v>
      </c>
      <c r="Q6" s="290"/>
      <c r="R6" s="292"/>
      <c r="S6" s="280"/>
    </row>
    <row r="7" spans="2:19" ht="15.75" customHeight="1">
      <c r="B7" s="333"/>
      <c r="C7" s="295" t="s">
        <v>292</v>
      </c>
      <c r="D7" s="297" t="s">
        <v>279</v>
      </c>
      <c r="E7" s="341">
        <f>E4/1609*1000</f>
        <v>922.31199502796767</v>
      </c>
      <c r="F7" s="341">
        <f>F4/1964*1000</f>
        <v>811.60896130346225</v>
      </c>
      <c r="G7" s="341">
        <f>G4/2804*1000</f>
        <v>835.23537803138368</v>
      </c>
      <c r="H7" s="268">
        <f>H4/2198*1000</f>
        <v>749.77252047315744</v>
      </c>
      <c r="I7" s="269">
        <v>0</v>
      </c>
      <c r="J7" s="269">
        <f>J4/2438*1000</f>
        <v>607.46513535684983</v>
      </c>
      <c r="K7" s="431">
        <f>K4/3897*1000</f>
        <v>879.65101360020526</v>
      </c>
      <c r="L7" s="431">
        <f>L4/2852*1000</f>
        <v>978.26086956521738</v>
      </c>
      <c r="M7" s="426">
        <f>E7*1.2+F7*1.2+G7*1.2</f>
        <v>3082.9876012353761</v>
      </c>
      <c r="N7" s="433">
        <f t="shared" si="1"/>
        <v>1857.9118831654228</v>
      </c>
      <c r="O7" s="332">
        <f t="shared" si="2"/>
        <v>4940.8994844007993</v>
      </c>
      <c r="P7" s="368">
        <v>3</v>
      </c>
      <c r="Q7" s="290"/>
      <c r="R7" s="292"/>
      <c r="S7" s="280"/>
    </row>
    <row r="8" spans="2:19" ht="15.75" customHeight="1">
      <c r="B8" s="333"/>
      <c r="C8" s="256" t="s">
        <v>294</v>
      </c>
      <c r="D8" s="297" t="s">
        <v>270</v>
      </c>
      <c r="E8" s="341">
        <f>E4/1725*1000</f>
        <v>860.28985507246375</v>
      </c>
      <c r="F8" s="268">
        <f>F4/1865*1000</f>
        <v>854.69168900804289</v>
      </c>
      <c r="G8" s="341">
        <f>G4/2563*1000</f>
        <v>913.77292235661332</v>
      </c>
      <c r="H8" s="268">
        <v>0</v>
      </c>
      <c r="I8" s="269">
        <v>0</v>
      </c>
      <c r="J8" s="361">
        <f>J4/1648*1000</f>
        <v>898.6650485436893</v>
      </c>
      <c r="K8" s="431">
        <f>K4/4610*1000</f>
        <v>743.60086767895882</v>
      </c>
      <c r="L8" s="431">
        <f>L4/3230*1000</f>
        <v>863.77708978328167</v>
      </c>
      <c r="M8" s="426">
        <f>E8*1.2+G8*1.2+J8*1.2</f>
        <v>3207.2733911673195</v>
      </c>
      <c r="N8" s="433">
        <f t="shared" si="1"/>
        <v>1607.3779574622404</v>
      </c>
      <c r="O8" s="332">
        <f t="shared" si="2"/>
        <v>4814.6513486295598</v>
      </c>
      <c r="P8" s="437">
        <v>4</v>
      </c>
      <c r="Q8" s="290"/>
      <c r="R8" s="292"/>
      <c r="S8" s="280"/>
    </row>
    <row r="9" spans="2:19" ht="15.75" customHeight="1">
      <c r="B9" s="334"/>
      <c r="C9" s="374" t="s">
        <v>312</v>
      </c>
      <c r="D9" s="299" t="s">
        <v>279</v>
      </c>
      <c r="E9" s="308">
        <v>0</v>
      </c>
      <c r="F9" s="308" t="s">
        <v>313</v>
      </c>
      <c r="G9" s="341">
        <f>G4/3255*1000</f>
        <v>719.50844854070658</v>
      </c>
      <c r="H9" s="341">
        <f>H4/1815*1000</f>
        <v>907.98898071625342</v>
      </c>
      <c r="I9" s="269">
        <v>0</v>
      </c>
      <c r="J9" s="361">
        <f>J4/1607*1000</f>
        <v>921.59303049159928</v>
      </c>
      <c r="K9" s="431">
        <f>K4/4332*1000</f>
        <v>791.32040627885499</v>
      </c>
      <c r="L9" s="431">
        <f>L4/4996*1000</f>
        <v>558.4467574059247</v>
      </c>
      <c r="M9" s="426">
        <f>G9*1.2+H9*1.2+J9*1.2</f>
        <v>3058.9085516982709</v>
      </c>
      <c r="N9" s="433">
        <f t="shared" si="1"/>
        <v>1349.7671636847797</v>
      </c>
      <c r="O9" s="332">
        <f t="shared" si="2"/>
        <v>4408.6757153830504</v>
      </c>
      <c r="P9" s="437">
        <v>5</v>
      </c>
      <c r="Q9" s="290"/>
      <c r="R9" s="292"/>
      <c r="S9" s="280"/>
    </row>
    <row r="10" spans="2:19" ht="15.75" customHeight="1">
      <c r="B10" s="333"/>
      <c r="C10" s="256" t="s">
        <v>291</v>
      </c>
      <c r="D10" s="296" t="s">
        <v>296</v>
      </c>
      <c r="E10" s="341">
        <f>E4/1596*1000</f>
        <v>929.82456140350882</v>
      </c>
      <c r="F10" s="308" t="s">
        <v>325</v>
      </c>
      <c r="G10" s="308" t="s">
        <v>313</v>
      </c>
      <c r="H10" s="341">
        <f>H4/1800*1000</f>
        <v>915.55555555555554</v>
      </c>
      <c r="I10" s="361">
        <f>I4/2572*1000</f>
        <v>879.08242612752713</v>
      </c>
      <c r="J10" s="269">
        <f>J4/1958*1000</f>
        <v>756.38406537282947</v>
      </c>
      <c r="K10" s="356">
        <v>0</v>
      </c>
      <c r="L10" s="431">
        <f>L4/2870*1000</f>
        <v>972.1254355400697</v>
      </c>
      <c r="M10" s="426">
        <f>E10*1.2+H10*1.2+I10*1.2</f>
        <v>3269.3550517039093</v>
      </c>
      <c r="N10" s="433">
        <f t="shared" si="1"/>
        <v>972.1254355400697</v>
      </c>
      <c r="O10" s="332">
        <f t="shared" si="2"/>
        <v>4241.480487243979</v>
      </c>
      <c r="P10" s="437">
        <v>6</v>
      </c>
      <c r="Q10" s="290"/>
      <c r="R10" s="292"/>
      <c r="S10" s="280"/>
    </row>
    <row r="11" spans="2:19" ht="15.75" customHeight="1">
      <c r="B11" s="334"/>
      <c r="C11" s="259" t="s">
        <v>228</v>
      </c>
      <c r="D11" s="299" t="s">
        <v>279</v>
      </c>
      <c r="E11" s="341">
        <f>E4/1902*1000</f>
        <v>780.23133543638278</v>
      </c>
      <c r="F11" s="342">
        <f>F4/2013*1000</f>
        <v>791.85295578738203</v>
      </c>
      <c r="G11" s="308" t="s">
        <v>281</v>
      </c>
      <c r="H11" s="341">
        <f>H4/2069*1000</f>
        <v>796.52005799903338</v>
      </c>
      <c r="I11" s="269">
        <f>I4/3133*1000</f>
        <v>721.67251835301624</v>
      </c>
      <c r="J11" s="269">
        <f>J4/2082*1000</f>
        <v>711.33525456292023</v>
      </c>
      <c r="K11" s="269">
        <v>0</v>
      </c>
      <c r="L11" s="431">
        <f>L4/2790*1000</f>
        <v>1000</v>
      </c>
      <c r="M11" s="426">
        <f>E11*1.2+F11*1.2+H11*1.2</f>
        <v>2842.3252190673575</v>
      </c>
      <c r="N11" s="433">
        <f>K11+L11</f>
        <v>1000</v>
      </c>
      <c r="O11" s="332">
        <f>M11+N11</f>
        <v>3842.3252190673575</v>
      </c>
      <c r="P11" s="310"/>
      <c r="Q11" s="290"/>
      <c r="R11" s="292"/>
      <c r="S11" s="280"/>
    </row>
    <row r="12" spans="2:19" ht="15.75" customHeight="1">
      <c r="B12" s="334"/>
      <c r="C12" s="410" t="s">
        <v>310</v>
      </c>
      <c r="D12" s="411" t="s">
        <v>279</v>
      </c>
      <c r="E12" s="412" t="s">
        <v>325</v>
      </c>
      <c r="F12" s="371">
        <f>F4/1682*1000</f>
        <v>947.6813317479191</v>
      </c>
      <c r="G12" s="371">
        <f>G4/3842*1000</f>
        <v>609.57834461218124</v>
      </c>
      <c r="H12" s="370">
        <v>0</v>
      </c>
      <c r="I12" s="372">
        <v>0</v>
      </c>
      <c r="J12" s="413">
        <f>J4/1523*1000</f>
        <v>972.42284963887062</v>
      </c>
      <c r="K12" s="372">
        <v>0</v>
      </c>
      <c r="L12" s="372">
        <v>0</v>
      </c>
      <c r="M12" s="436">
        <f>F12*1.2+G12*1.2+J12*1.2</f>
        <v>3035.6190311987648</v>
      </c>
      <c r="N12" s="435">
        <v>0</v>
      </c>
      <c r="O12" s="414">
        <f t="shared" si="2"/>
        <v>3035.6190311987648</v>
      </c>
      <c r="P12" s="438"/>
      <c r="Q12" s="415"/>
      <c r="R12" s="416"/>
      <c r="S12" s="280"/>
    </row>
    <row r="13" spans="2:19" ht="15.75" customHeight="1">
      <c r="B13" s="334"/>
      <c r="C13" s="259" t="s">
        <v>151</v>
      </c>
      <c r="D13" s="299" t="s">
        <v>279</v>
      </c>
      <c r="E13" s="308">
        <v>0</v>
      </c>
      <c r="F13" s="341">
        <f>F4/2247*1000</f>
        <v>709.39029817534492</v>
      </c>
      <c r="G13" s="268">
        <v>0</v>
      </c>
      <c r="H13" s="341">
        <f>H4/2752*1000</f>
        <v>598.8372093023255</v>
      </c>
      <c r="I13" s="269">
        <v>0</v>
      </c>
      <c r="J13" s="361">
        <f>J4/2088*1000</f>
        <v>709.29118773946368</v>
      </c>
      <c r="K13" s="359" t="s">
        <v>313</v>
      </c>
      <c r="L13" s="269">
        <v>0</v>
      </c>
      <c r="M13" s="426">
        <f>F13*1.2+H13*1.2+J13*1.2</f>
        <v>2421.0224342605607</v>
      </c>
      <c r="N13" s="353">
        <v>0</v>
      </c>
      <c r="O13" s="332">
        <f>M13+N13</f>
        <v>2421.0224342605607</v>
      </c>
      <c r="P13" s="310"/>
      <c r="Q13" s="290"/>
      <c r="R13" s="292"/>
      <c r="S13" s="280"/>
    </row>
    <row r="14" spans="2:19" ht="15.75" customHeight="1">
      <c r="B14" s="334"/>
      <c r="C14" s="259" t="s">
        <v>357</v>
      </c>
      <c r="D14" s="299" t="s">
        <v>295</v>
      </c>
      <c r="E14" s="308">
        <v>0</v>
      </c>
      <c r="F14" s="308">
        <v>0</v>
      </c>
      <c r="G14" s="268">
        <v>0</v>
      </c>
      <c r="H14" s="268">
        <v>0</v>
      </c>
      <c r="I14" s="361">
        <f>I4/2261*1000</f>
        <v>1000</v>
      </c>
      <c r="J14" s="361">
        <f>J4/1481*1000</f>
        <v>1000</v>
      </c>
      <c r="K14" s="269">
        <v>0</v>
      </c>
      <c r="L14" s="269">
        <v>0</v>
      </c>
      <c r="M14" s="426">
        <f>I14*1.2+J14*1.2</f>
        <v>2400</v>
      </c>
      <c r="N14" s="353">
        <v>0</v>
      </c>
      <c r="O14" s="332">
        <f>M14+N14</f>
        <v>2400</v>
      </c>
      <c r="P14" s="310"/>
      <c r="Q14" s="290"/>
      <c r="R14" s="292"/>
      <c r="S14" s="280"/>
    </row>
    <row r="15" spans="2:19" ht="15.75" customHeight="1">
      <c r="B15" s="333"/>
      <c r="C15" s="256" t="s">
        <v>290</v>
      </c>
      <c r="D15" s="296" t="s">
        <v>295</v>
      </c>
      <c r="E15" s="341">
        <f>E4/1563*1000</f>
        <v>949.4561740243123</v>
      </c>
      <c r="F15" s="308" t="s">
        <v>325</v>
      </c>
      <c r="G15" s="268">
        <v>0</v>
      </c>
      <c r="H15" s="268">
        <v>0</v>
      </c>
      <c r="I15" s="269">
        <v>0</v>
      </c>
      <c r="J15" s="269">
        <v>0</v>
      </c>
      <c r="K15" s="269">
        <v>0</v>
      </c>
      <c r="L15" s="431">
        <f>L4/3050*1000</f>
        <v>914.75409836065569</v>
      </c>
      <c r="M15" s="426">
        <f>E15*1.2</f>
        <v>1139.3474088291748</v>
      </c>
      <c r="N15" s="433">
        <f>K15+L15</f>
        <v>914.75409836065569</v>
      </c>
      <c r="O15" s="332">
        <f>M15+N15</f>
        <v>2054.1015071898305</v>
      </c>
      <c r="P15" s="309"/>
      <c r="Q15" s="290"/>
      <c r="R15" s="291"/>
      <c r="S15" s="281"/>
    </row>
    <row r="16" spans="2:19" ht="15.75" customHeight="1">
      <c r="B16" s="334"/>
      <c r="C16" s="259" t="s">
        <v>309</v>
      </c>
      <c r="D16" s="299" t="s">
        <v>296</v>
      </c>
      <c r="E16" s="308" t="s">
        <v>313</v>
      </c>
      <c r="F16" s="341">
        <f>F4/1673*1000</f>
        <v>952.77943813508671</v>
      </c>
      <c r="G16" s="268">
        <v>0</v>
      </c>
      <c r="H16" s="268">
        <v>0</v>
      </c>
      <c r="I16" s="269">
        <v>0</v>
      </c>
      <c r="J16" s="269">
        <v>0</v>
      </c>
      <c r="K16" s="269">
        <v>0</v>
      </c>
      <c r="L16" s="431">
        <f>L4/3710*1000</f>
        <v>752.02156334231802</v>
      </c>
      <c r="M16" s="426">
        <f>F16*1.2</f>
        <v>1143.335325762104</v>
      </c>
      <c r="N16" s="433">
        <f t="shared" ref="N16" si="3">K16+L16</f>
        <v>752.02156334231802</v>
      </c>
      <c r="O16" s="332">
        <f>M16+N16</f>
        <v>1895.356889104422</v>
      </c>
      <c r="P16" s="310"/>
      <c r="Q16" s="290"/>
      <c r="R16" s="292"/>
      <c r="S16" s="280"/>
    </row>
    <row r="17" spans="2:19" ht="15.75" customHeight="1">
      <c r="B17" s="334"/>
      <c r="C17" s="259" t="s">
        <v>299</v>
      </c>
      <c r="D17" s="299" t="s">
        <v>295</v>
      </c>
      <c r="E17" s="341">
        <f>E4/1801*1000</f>
        <v>823.98667406996117</v>
      </c>
      <c r="F17" s="308" t="s">
        <v>325</v>
      </c>
      <c r="G17" s="268">
        <v>0</v>
      </c>
      <c r="H17" s="268">
        <v>0</v>
      </c>
      <c r="I17" s="269">
        <v>0</v>
      </c>
      <c r="J17" s="361">
        <f>J4/1992*1000</f>
        <v>743.47389558232931</v>
      </c>
      <c r="K17" s="359" t="s">
        <v>313</v>
      </c>
      <c r="L17" s="269">
        <v>0</v>
      </c>
      <c r="M17" s="426">
        <f>E17*1.2+J17*1.2</f>
        <v>1880.9526835827485</v>
      </c>
      <c r="N17" s="353">
        <v>0</v>
      </c>
      <c r="O17" s="332">
        <f>M17+N17</f>
        <v>1880.9526835827485</v>
      </c>
      <c r="P17" s="310"/>
      <c r="Q17" s="290"/>
      <c r="R17" s="292"/>
      <c r="S17" s="280"/>
    </row>
    <row r="18" spans="2:19" ht="15.75" customHeight="1">
      <c r="B18" s="334"/>
      <c r="C18" s="259" t="s">
        <v>334</v>
      </c>
      <c r="D18" s="299" t="s">
        <v>270</v>
      </c>
      <c r="E18" s="268">
        <v>0</v>
      </c>
      <c r="F18" s="308">
        <v>0</v>
      </c>
      <c r="G18" s="341">
        <f>G4/2431*1000</f>
        <v>963.38955162484569</v>
      </c>
      <c r="H18" s="268">
        <v>0</v>
      </c>
      <c r="I18" s="269">
        <v>0</v>
      </c>
      <c r="J18" s="269">
        <v>0</v>
      </c>
      <c r="K18" s="269">
        <v>0</v>
      </c>
      <c r="L18" s="269">
        <v>0</v>
      </c>
      <c r="M18" s="426">
        <f>G18*1.2</f>
        <v>1156.0674619498147</v>
      </c>
      <c r="N18" s="356">
        <v>0</v>
      </c>
      <c r="O18" s="332">
        <f t="shared" si="0"/>
        <v>1156.0674619498147</v>
      </c>
      <c r="P18" s="310"/>
      <c r="Q18" s="290"/>
      <c r="R18" s="292"/>
      <c r="S18" s="280"/>
    </row>
    <row r="19" spans="2:19" ht="15.75" customHeight="1">
      <c r="B19" s="334"/>
      <c r="C19" s="259" t="s">
        <v>358</v>
      </c>
      <c r="D19" s="299" t="s">
        <v>270</v>
      </c>
      <c r="E19" s="308">
        <v>0</v>
      </c>
      <c r="F19" s="308">
        <v>0</v>
      </c>
      <c r="G19" s="268">
        <v>0</v>
      </c>
      <c r="H19" s="268">
        <v>0</v>
      </c>
      <c r="I19" s="361">
        <f>I4/2545*1000</f>
        <v>888.40864440078587</v>
      </c>
      <c r="J19" s="269">
        <v>0</v>
      </c>
      <c r="K19" s="269">
        <v>0</v>
      </c>
      <c r="L19" s="269">
        <v>0</v>
      </c>
      <c r="M19" s="426">
        <f>I19*1.2</f>
        <v>1066.0903732809429</v>
      </c>
      <c r="N19" s="353">
        <v>0</v>
      </c>
      <c r="O19" s="332">
        <f>M19+N19</f>
        <v>1066.0903732809429</v>
      </c>
      <c r="P19" s="310"/>
      <c r="Q19" s="290"/>
      <c r="R19" s="292"/>
      <c r="S19" s="280"/>
    </row>
    <row r="20" spans="2:19" ht="15.75" customHeight="1">
      <c r="B20" s="333"/>
      <c r="C20" s="295" t="s">
        <v>298</v>
      </c>
      <c r="D20" s="298" t="s">
        <v>297</v>
      </c>
      <c r="E20" s="341">
        <f>E4/1758*1000</f>
        <v>844.14106939704209</v>
      </c>
      <c r="F20" s="308" t="s">
        <v>325</v>
      </c>
      <c r="G20" s="268">
        <v>0</v>
      </c>
      <c r="H20" s="268">
        <v>0</v>
      </c>
      <c r="I20" s="269">
        <v>0</v>
      </c>
      <c r="J20" s="269">
        <v>0</v>
      </c>
      <c r="K20" s="269">
        <v>0</v>
      </c>
      <c r="L20" s="269">
        <v>0</v>
      </c>
      <c r="M20" s="426">
        <f>E20*1.2</f>
        <v>1012.9692832764505</v>
      </c>
      <c r="N20" s="353">
        <v>0</v>
      </c>
      <c r="O20" s="332">
        <f t="shared" ref="O20:O32" si="4">M20+N20</f>
        <v>1012.9692832764505</v>
      </c>
      <c r="P20" s="310"/>
      <c r="Q20" s="290"/>
      <c r="R20" s="292"/>
      <c r="S20" s="280"/>
    </row>
    <row r="21" spans="2:19" ht="15.75" customHeight="1">
      <c r="B21" s="334"/>
      <c r="C21" s="259" t="s">
        <v>335</v>
      </c>
      <c r="D21" s="299" t="s">
        <v>336</v>
      </c>
      <c r="E21" s="268">
        <v>0</v>
      </c>
      <c r="F21" s="308">
        <v>0</v>
      </c>
      <c r="G21" s="341">
        <f>G4/2881*1000</f>
        <v>812.91218326969806</v>
      </c>
      <c r="H21" s="268">
        <v>0</v>
      </c>
      <c r="I21" s="269">
        <v>0</v>
      </c>
      <c r="J21" s="269">
        <v>0</v>
      </c>
      <c r="K21" s="359" t="s">
        <v>313</v>
      </c>
      <c r="L21" s="269">
        <v>0</v>
      </c>
      <c r="M21" s="426">
        <f>G21*1.2</f>
        <v>975.49461992363763</v>
      </c>
      <c r="N21" s="356">
        <v>0</v>
      </c>
      <c r="O21" s="332">
        <f t="shared" ref="O21:O27" si="5">M21+N21</f>
        <v>975.49461992363763</v>
      </c>
      <c r="P21" s="310"/>
      <c r="Q21" s="290"/>
      <c r="R21" s="292"/>
      <c r="S21" s="280"/>
    </row>
    <row r="22" spans="2:19" ht="15.75" customHeight="1">
      <c r="B22" s="334"/>
      <c r="C22" s="259" t="s">
        <v>361</v>
      </c>
      <c r="D22" s="299" t="s">
        <v>362</v>
      </c>
      <c r="E22" s="268">
        <v>0</v>
      </c>
      <c r="F22" s="308">
        <v>0</v>
      </c>
      <c r="G22" s="268">
        <v>0</v>
      </c>
      <c r="H22" s="268">
        <v>0</v>
      </c>
      <c r="I22" s="269">
        <v>0</v>
      </c>
      <c r="J22" s="361">
        <f>J4/1824*1000</f>
        <v>811.95175438596493</v>
      </c>
      <c r="K22" s="269">
        <v>0</v>
      </c>
      <c r="L22" s="269">
        <v>0</v>
      </c>
      <c r="M22" s="426">
        <f>J22*1.2</f>
        <v>974.34210526315792</v>
      </c>
      <c r="N22" s="356">
        <v>0</v>
      </c>
      <c r="O22" s="332">
        <f t="shared" si="5"/>
        <v>974.34210526315792</v>
      </c>
      <c r="P22" s="310"/>
      <c r="Q22" s="290"/>
      <c r="R22" s="292"/>
      <c r="S22" s="280"/>
    </row>
    <row r="23" spans="2:19" ht="15.75" customHeight="1">
      <c r="B23" s="334"/>
      <c r="C23" s="259" t="s">
        <v>217</v>
      </c>
      <c r="D23" s="299" t="s">
        <v>279</v>
      </c>
      <c r="E23" s="308">
        <v>0</v>
      </c>
      <c r="F23" s="341">
        <f>F4/2076*1000</f>
        <v>767.82273603082854</v>
      </c>
      <c r="G23" s="268">
        <v>0</v>
      </c>
      <c r="H23" s="268">
        <v>0</v>
      </c>
      <c r="I23" s="269">
        <v>0</v>
      </c>
      <c r="J23" s="269">
        <v>0</v>
      </c>
      <c r="K23" s="269">
        <v>0</v>
      </c>
      <c r="L23" s="269">
        <v>0</v>
      </c>
      <c r="M23" s="426">
        <f>F23*1.2</f>
        <v>921.38728323699422</v>
      </c>
      <c r="N23" s="353">
        <v>0</v>
      </c>
      <c r="O23" s="332">
        <f t="shared" si="5"/>
        <v>921.38728323699422</v>
      </c>
      <c r="P23" s="310"/>
      <c r="Q23" s="290"/>
      <c r="R23" s="292"/>
      <c r="S23" s="280"/>
    </row>
    <row r="24" spans="2:19" ht="15.75" customHeight="1">
      <c r="B24" s="334"/>
      <c r="C24" s="259" t="s">
        <v>311</v>
      </c>
      <c r="D24" s="299" t="s">
        <v>279</v>
      </c>
      <c r="E24" s="308">
        <v>0</v>
      </c>
      <c r="F24" s="341">
        <f>F4/2116*1000</f>
        <v>753.30812854442343</v>
      </c>
      <c r="G24" s="268">
        <v>0</v>
      </c>
      <c r="H24" s="268">
        <v>0</v>
      </c>
      <c r="I24" s="269">
        <v>0</v>
      </c>
      <c r="J24" s="269">
        <v>0</v>
      </c>
      <c r="K24" s="269">
        <v>0</v>
      </c>
      <c r="L24" s="269">
        <v>0</v>
      </c>
      <c r="M24" s="426">
        <f>F24*1.2</f>
        <v>903.96975425330811</v>
      </c>
      <c r="N24" s="353">
        <v>0</v>
      </c>
      <c r="O24" s="332">
        <f t="shared" si="5"/>
        <v>903.96975425330811</v>
      </c>
      <c r="P24" s="310"/>
      <c r="Q24" s="290"/>
      <c r="R24" s="292"/>
      <c r="S24" s="280"/>
    </row>
    <row r="25" spans="2:19" ht="15.75" customHeight="1">
      <c r="B25" s="334"/>
      <c r="C25" s="259" t="s">
        <v>18</v>
      </c>
      <c r="D25" s="299" t="s">
        <v>279</v>
      </c>
      <c r="E25" s="308">
        <v>0</v>
      </c>
      <c r="F25" s="308">
        <v>0</v>
      </c>
      <c r="G25" s="268">
        <v>0</v>
      </c>
      <c r="H25" s="268">
        <v>0</v>
      </c>
      <c r="I25" s="359" t="s">
        <v>313</v>
      </c>
      <c r="J25" s="361">
        <f>J4/2022*1000</f>
        <v>732.44312561819982</v>
      </c>
      <c r="K25" s="269">
        <v>0</v>
      </c>
      <c r="L25" s="269">
        <v>0</v>
      </c>
      <c r="M25" s="426">
        <f>J25*1.2</f>
        <v>878.93175074183978</v>
      </c>
      <c r="N25" s="353">
        <v>0</v>
      </c>
      <c r="O25" s="332">
        <f t="shared" si="5"/>
        <v>878.93175074183978</v>
      </c>
      <c r="P25" s="310"/>
      <c r="Q25" s="290"/>
      <c r="R25" s="292"/>
      <c r="S25" s="280"/>
    </row>
    <row r="26" spans="2:19" ht="15.75" customHeight="1">
      <c r="B26" s="334"/>
      <c r="C26" s="259" t="s">
        <v>363</v>
      </c>
      <c r="D26" s="299" t="s">
        <v>270</v>
      </c>
      <c r="E26" s="268">
        <v>0</v>
      </c>
      <c r="F26" s="308">
        <v>0</v>
      </c>
      <c r="G26" s="268">
        <v>0</v>
      </c>
      <c r="H26" s="268">
        <v>0</v>
      </c>
      <c r="I26" s="269">
        <v>0</v>
      </c>
      <c r="J26" s="361">
        <f>J4/2159*1000</f>
        <v>685.9657248726262</v>
      </c>
      <c r="K26" s="269">
        <v>0</v>
      </c>
      <c r="L26" s="269">
        <v>0</v>
      </c>
      <c r="M26" s="426">
        <f>J26*1.2</f>
        <v>823.15886984715144</v>
      </c>
      <c r="N26" s="356">
        <v>0</v>
      </c>
      <c r="O26" s="332">
        <f t="shared" si="5"/>
        <v>823.15886984715144</v>
      </c>
      <c r="P26" s="310"/>
      <c r="Q26" s="290"/>
      <c r="R26" s="292"/>
      <c r="S26" s="280"/>
    </row>
    <row r="27" spans="2:19" ht="15.75" customHeight="1">
      <c r="B27" s="334"/>
      <c r="C27" s="259" t="s">
        <v>343</v>
      </c>
      <c r="D27" s="299" t="s">
        <v>279</v>
      </c>
      <c r="E27" s="268">
        <v>0</v>
      </c>
      <c r="F27" s="308">
        <v>0</v>
      </c>
      <c r="G27" s="268">
        <v>0</v>
      </c>
      <c r="H27" s="341">
        <f>H4/2939*1000</f>
        <v>560.73494385845527</v>
      </c>
      <c r="I27" s="269">
        <v>0</v>
      </c>
      <c r="J27" s="269">
        <v>0</v>
      </c>
      <c r="K27" s="269">
        <v>0</v>
      </c>
      <c r="L27" s="269">
        <v>0</v>
      </c>
      <c r="M27" s="426">
        <f>H27*1.2</f>
        <v>672.88193263014625</v>
      </c>
      <c r="N27" s="356">
        <v>0</v>
      </c>
      <c r="O27" s="332">
        <f t="shared" si="5"/>
        <v>672.88193263014625</v>
      </c>
      <c r="P27" s="310"/>
      <c r="Q27" s="290"/>
      <c r="R27" s="292"/>
      <c r="S27" s="280"/>
    </row>
    <row r="28" spans="2:19" ht="15.75" customHeight="1">
      <c r="B28" s="334"/>
      <c r="C28" s="259" t="s">
        <v>300</v>
      </c>
      <c r="D28" s="299" t="s">
        <v>297</v>
      </c>
      <c r="E28" s="341">
        <f>E4/2881*1000</f>
        <v>515.09892398472755</v>
      </c>
      <c r="F28" s="308" t="s">
        <v>325</v>
      </c>
      <c r="G28" s="268">
        <v>0</v>
      </c>
      <c r="H28" s="268">
        <v>0</v>
      </c>
      <c r="I28" s="269">
        <v>0</v>
      </c>
      <c r="J28" s="269">
        <v>0</v>
      </c>
      <c r="K28" s="269">
        <v>0</v>
      </c>
      <c r="L28" s="269">
        <v>0</v>
      </c>
      <c r="M28" s="426">
        <f>E28*1.2</f>
        <v>618.11870878167304</v>
      </c>
      <c r="N28" s="353">
        <v>0</v>
      </c>
      <c r="O28" s="332">
        <f t="shared" si="4"/>
        <v>618.11870878167304</v>
      </c>
      <c r="P28" s="310"/>
      <c r="Q28" s="290"/>
      <c r="R28" s="292"/>
      <c r="S28" s="280"/>
    </row>
    <row r="29" spans="2:19" ht="15.75" customHeight="1">
      <c r="B29" s="334"/>
      <c r="C29" s="259" t="s">
        <v>301</v>
      </c>
      <c r="D29" s="299" t="s">
        <v>297</v>
      </c>
      <c r="E29" s="308" t="s">
        <v>313</v>
      </c>
      <c r="F29" s="308" t="s">
        <v>325</v>
      </c>
      <c r="G29" s="268">
        <v>0</v>
      </c>
      <c r="H29" s="268">
        <v>0</v>
      </c>
      <c r="I29" s="269">
        <v>0</v>
      </c>
      <c r="J29" s="269">
        <v>0</v>
      </c>
      <c r="K29" s="269">
        <v>0</v>
      </c>
      <c r="L29" s="269">
        <v>0</v>
      </c>
      <c r="M29" s="330">
        <v>0</v>
      </c>
      <c r="N29" s="353">
        <v>0</v>
      </c>
      <c r="O29" s="332">
        <f t="shared" si="4"/>
        <v>0</v>
      </c>
      <c r="P29" s="310"/>
      <c r="Q29" s="290"/>
      <c r="R29" s="292"/>
      <c r="S29" s="280"/>
    </row>
    <row r="30" spans="2:19" ht="15.75" customHeight="1">
      <c r="B30" s="334"/>
      <c r="C30" s="259" t="s">
        <v>302</v>
      </c>
      <c r="D30" s="299" t="s">
        <v>295</v>
      </c>
      <c r="E30" s="308" t="s">
        <v>313</v>
      </c>
      <c r="F30" s="308" t="s">
        <v>325</v>
      </c>
      <c r="G30" s="268">
        <v>0</v>
      </c>
      <c r="H30" s="268">
        <v>0</v>
      </c>
      <c r="I30" s="269">
        <v>0</v>
      </c>
      <c r="J30" s="269">
        <v>0</v>
      </c>
      <c r="K30" s="269">
        <v>0</v>
      </c>
      <c r="L30" s="269">
        <v>0</v>
      </c>
      <c r="M30" s="330">
        <v>0</v>
      </c>
      <c r="N30" s="353">
        <v>0</v>
      </c>
      <c r="O30" s="332">
        <f t="shared" si="4"/>
        <v>0</v>
      </c>
      <c r="P30" s="310"/>
      <c r="Q30" s="290"/>
      <c r="R30" s="292"/>
      <c r="S30" s="280"/>
    </row>
    <row r="31" spans="2:19" ht="15.75" customHeight="1">
      <c r="B31" s="334"/>
      <c r="C31" s="539" t="s">
        <v>374</v>
      </c>
      <c r="D31" s="540"/>
      <c r="E31" s="315">
        <v>0</v>
      </c>
      <c r="F31" s="315">
        <v>0</v>
      </c>
      <c r="G31" s="272">
        <v>0</v>
      </c>
      <c r="H31" s="272">
        <v>0</v>
      </c>
      <c r="I31" s="273">
        <v>0</v>
      </c>
      <c r="J31" s="273">
        <v>0</v>
      </c>
      <c r="K31" s="273">
        <v>0</v>
      </c>
      <c r="L31" s="526" t="s">
        <v>313</v>
      </c>
      <c r="M31" s="541">
        <v>0</v>
      </c>
      <c r="N31" s="542">
        <v>0</v>
      </c>
      <c r="O31" s="543">
        <f t="shared" si="4"/>
        <v>0</v>
      </c>
      <c r="P31" s="544"/>
      <c r="Q31" s="303"/>
      <c r="R31" s="545"/>
      <c r="S31" s="280"/>
    </row>
    <row r="32" spans="2:19" ht="15.75" customHeight="1" thickBot="1">
      <c r="B32" s="444"/>
      <c r="C32" s="445" t="s">
        <v>375</v>
      </c>
      <c r="D32" s="446"/>
      <c r="E32" s="274">
        <v>0</v>
      </c>
      <c r="F32" s="274">
        <v>0</v>
      </c>
      <c r="G32" s="274">
        <v>0</v>
      </c>
      <c r="H32" s="274">
        <v>0</v>
      </c>
      <c r="I32" s="340">
        <v>0</v>
      </c>
      <c r="J32" s="340">
        <v>0</v>
      </c>
      <c r="K32" s="340">
        <v>0</v>
      </c>
      <c r="L32" s="357" t="s">
        <v>313</v>
      </c>
      <c r="M32" s="286">
        <v>0</v>
      </c>
      <c r="N32" s="357">
        <v>0</v>
      </c>
      <c r="O32" s="318">
        <f t="shared" si="4"/>
        <v>0</v>
      </c>
      <c r="P32" s="287"/>
      <c r="Q32" s="293"/>
      <c r="R32" s="447"/>
      <c r="S32" s="280"/>
    </row>
    <row r="33" spans="2:19" ht="15.75" customHeight="1">
      <c r="B33" s="251" t="s">
        <v>288</v>
      </c>
      <c r="C33" s="248"/>
      <c r="D33" s="439" t="s">
        <v>264</v>
      </c>
      <c r="E33" s="267">
        <v>1402</v>
      </c>
      <c r="F33" s="440">
        <v>1611</v>
      </c>
      <c r="G33" s="267">
        <v>2423</v>
      </c>
      <c r="H33" s="440">
        <v>1725</v>
      </c>
      <c r="I33" s="267">
        <v>2479</v>
      </c>
      <c r="J33" s="267">
        <v>1464</v>
      </c>
      <c r="K33" s="267">
        <v>3183</v>
      </c>
      <c r="L33" s="267">
        <v>2488</v>
      </c>
      <c r="M33" s="441"/>
      <c r="N33" s="320"/>
      <c r="O33" s="317"/>
      <c r="P33" s="285"/>
      <c r="Q33" s="442"/>
      <c r="R33" s="443"/>
      <c r="S33" s="284"/>
    </row>
    <row r="34" spans="2:19" ht="15.75" customHeight="1">
      <c r="B34" s="251"/>
      <c r="C34" s="295" t="s">
        <v>303</v>
      </c>
      <c r="D34" s="300" t="s">
        <v>279</v>
      </c>
      <c r="E34" s="341">
        <f>E33/1402*1000</f>
        <v>1000</v>
      </c>
      <c r="F34" s="341">
        <f>F33/1611*1000</f>
        <v>1000</v>
      </c>
      <c r="G34" s="268">
        <f>G33/3802*1000</f>
        <v>637.29615991583375</v>
      </c>
      <c r="H34" s="341">
        <f>H33/1725*1000</f>
        <v>1000</v>
      </c>
      <c r="I34" s="269">
        <v>0</v>
      </c>
      <c r="J34" s="269">
        <f>J33/1519*1000</f>
        <v>963.79196840026339</v>
      </c>
      <c r="K34" s="431">
        <f>K33/3838*1000</f>
        <v>829.33819697759247</v>
      </c>
      <c r="L34" s="431">
        <f>L33/2488*1000</f>
        <v>1000</v>
      </c>
      <c r="M34" s="426">
        <f>E34*1.2+F34*1.2+H34*1.2</f>
        <v>3600</v>
      </c>
      <c r="N34" s="433">
        <f>K34+L34</f>
        <v>1829.3381969775924</v>
      </c>
      <c r="O34" s="332">
        <f>M34+N34</f>
        <v>5429.3381969775928</v>
      </c>
      <c r="P34" s="367">
        <v>1</v>
      </c>
      <c r="Q34" s="290"/>
      <c r="R34" s="291"/>
      <c r="S34" s="281"/>
    </row>
    <row r="35" spans="2:19" ht="15.75" customHeight="1">
      <c r="B35" s="251"/>
      <c r="C35" s="295" t="s">
        <v>304</v>
      </c>
      <c r="D35" s="258" t="s">
        <v>269</v>
      </c>
      <c r="E35" s="341">
        <f>E33/1428*1000</f>
        <v>981.79271708683473</v>
      </c>
      <c r="F35" s="341">
        <f>F33/1825*1000</f>
        <v>882.7397260273973</v>
      </c>
      <c r="G35" s="268">
        <f>G33/2888*1000</f>
        <v>838.98891966759004</v>
      </c>
      <c r="H35" s="308" t="s">
        <v>313</v>
      </c>
      <c r="I35" s="269">
        <v>0</v>
      </c>
      <c r="J35" s="361">
        <f>J33/1464*1000</f>
        <v>1000</v>
      </c>
      <c r="K35" s="431">
        <f>K33/3183*1000</f>
        <v>1000</v>
      </c>
      <c r="L35" s="431">
        <f>L33/2877*1000</f>
        <v>864.78971150504003</v>
      </c>
      <c r="M35" s="426">
        <f>E35*1.2+F35*1.2+J35*1.2</f>
        <v>3437.4389317370783</v>
      </c>
      <c r="N35" s="433">
        <f>K35+L35</f>
        <v>1864.78971150504</v>
      </c>
      <c r="O35" s="332">
        <f>M35+N35</f>
        <v>5302.2286432421188</v>
      </c>
      <c r="P35" s="367">
        <v>2</v>
      </c>
      <c r="Q35" s="290"/>
      <c r="R35" s="291"/>
      <c r="S35" s="281"/>
    </row>
    <row r="36" spans="2:19" ht="15.75" customHeight="1">
      <c r="B36" s="251"/>
      <c r="C36" s="305" t="s">
        <v>0</v>
      </c>
      <c r="D36" s="300" t="s">
        <v>279</v>
      </c>
      <c r="E36" s="315" t="s">
        <v>325</v>
      </c>
      <c r="F36" s="272">
        <f>F33/1857*1000</f>
        <v>867.52827140549266</v>
      </c>
      <c r="G36" s="343">
        <f>G33/2634*1000</f>
        <v>919.89369779802576</v>
      </c>
      <c r="H36" s="343">
        <f>H33/1748*1000</f>
        <v>986.8421052631578</v>
      </c>
      <c r="I36" s="273">
        <v>0</v>
      </c>
      <c r="J36" s="362">
        <f>J33/1614*1000</f>
        <v>907.06319702602229</v>
      </c>
      <c r="K36" s="432">
        <f>K33/3515*1000</f>
        <v>905.54765291607396</v>
      </c>
      <c r="L36" s="432">
        <f>L33/2564*1000</f>
        <v>970.35881435257409</v>
      </c>
      <c r="M36" s="426">
        <f>G36*1.2+H36*1.2+J36*1.2</f>
        <v>3376.5588001046472</v>
      </c>
      <c r="N36" s="433">
        <f>K36+L36</f>
        <v>1875.9064672686482</v>
      </c>
      <c r="O36" s="332">
        <f>M36+N36</f>
        <v>5252.4652673732953</v>
      </c>
      <c r="P36" s="409">
        <v>3</v>
      </c>
      <c r="Q36" s="303"/>
      <c r="R36" s="304"/>
      <c r="S36" s="281"/>
    </row>
    <row r="37" spans="2:19" ht="15.75" customHeight="1">
      <c r="B37" s="251"/>
      <c r="C37" s="301" t="s">
        <v>305</v>
      </c>
      <c r="D37" s="302" t="s">
        <v>279</v>
      </c>
      <c r="E37" s="341">
        <f>E33/1485*1000</f>
        <v>944.10774410774411</v>
      </c>
      <c r="F37" s="268">
        <f>F33/2560*1000</f>
        <v>629.296875</v>
      </c>
      <c r="G37" s="341">
        <f>G33/2423*1000</f>
        <v>1000</v>
      </c>
      <c r="H37" s="341">
        <f>H33/1769*1000</f>
        <v>975.12719050310909</v>
      </c>
      <c r="I37" s="273">
        <v>0</v>
      </c>
      <c r="J37" s="273">
        <v>0</v>
      </c>
      <c r="K37" s="432">
        <f>K33/4535*1000</f>
        <v>701.87431091510473</v>
      </c>
      <c r="L37" s="432">
        <f>L33/2957*1000</f>
        <v>841.39330402434894</v>
      </c>
      <c r="M37" s="426">
        <f>E37*1.2+G37*1.2+H37*1.2</f>
        <v>3503.0819215330239</v>
      </c>
      <c r="N37" s="433">
        <f>K37+L37</f>
        <v>1543.2676149394538</v>
      </c>
      <c r="O37" s="332">
        <f t="shared" ref="O37:O38" si="6">M37+N37</f>
        <v>5046.3495364724777</v>
      </c>
      <c r="P37" s="430">
        <v>4</v>
      </c>
      <c r="Q37" s="290"/>
      <c r="R37" s="291"/>
      <c r="S37" s="281"/>
    </row>
    <row r="38" spans="2:19" ht="15.75" customHeight="1">
      <c r="B38" s="251"/>
      <c r="C38" s="305" t="s">
        <v>316</v>
      </c>
      <c r="D38" s="300" t="s">
        <v>270</v>
      </c>
      <c r="E38" s="315" t="s">
        <v>325</v>
      </c>
      <c r="F38" s="272">
        <f>F33/2047*1000</f>
        <v>787.00537371763562</v>
      </c>
      <c r="G38" s="343">
        <f>G33/2658*1000</f>
        <v>911.58765989465758</v>
      </c>
      <c r="H38" s="343">
        <f>H33/1989*1000</f>
        <v>867.26998491704376</v>
      </c>
      <c r="I38" s="362">
        <f>I33/2493*1000</f>
        <v>994.38427597272357</v>
      </c>
      <c r="J38" s="273">
        <v>0</v>
      </c>
      <c r="K38" s="432">
        <f>K33/5929*1000</f>
        <v>536.85275763197842</v>
      </c>
      <c r="L38" s="432">
        <f>L33/2940*1000</f>
        <v>846.2585034013606</v>
      </c>
      <c r="M38" s="426">
        <f>G38*1.2+H38*1.2+I38*1.2</f>
        <v>3327.8903049413093</v>
      </c>
      <c r="N38" s="433">
        <f>K38+L38</f>
        <v>1383.1112610333389</v>
      </c>
      <c r="O38" s="332">
        <f t="shared" si="6"/>
        <v>4711.0015659746477</v>
      </c>
      <c r="P38" s="430">
        <v>5</v>
      </c>
      <c r="Q38" s="303"/>
      <c r="R38" s="304"/>
      <c r="S38" s="281"/>
    </row>
    <row r="39" spans="2:19" ht="15.75" customHeight="1">
      <c r="B39" s="251"/>
      <c r="C39" s="305" t="s">
        <v>314</v>
      </c>
      <c r="D39" s="300" t="s">
        <v>315</v>
      </c>
      <c r="E39" s="315" t="s">
        <v>325</v>
      </c>
      <c r="F39" s="343">
        <f>F33/1897*1000</f>
        <v>849.23563521349502</v>
      </c>
      <c r="G39" s="272">
        <f>G33/3150*1000</f>
        <v>769.20634920634927</v>
      </c>
      <c r="H39" s="343">
        <f>H33/2144*1000</f>
        <v>804.57089552238801</v>
      </c>
      <c r="I39" s="362">
        <f>I33/2857*1000</f>
        <v>867.69338466923352</v>
      </c>
      <c r="J39" s="273">
        <f>J33/1844*1000</f>
        <v>793.9262472885033</v>
      </c>
      <c r="K39" s="432">
        <f>K33/4461*1000</f>
        <v>713.51714862138533</v>
      </c>
      <c r="L39" s="432">
        <f>L33/4212*1000</f>
        <v>590.69325735992402</v>
      </c>
      <c r="M39" s="426">
        <f>F39*1.2+H39*1.2+I39*1.2</f>
        <v>3025.7998984861397</v>
      </c>
      <c r="N39" s="433">
        <f>K39+L39</f>
        <v>1304.2104059813093</v>
      </c>
      <c r="O39" s="332">
        <f t="shared" ref="O39" si="7">M39+N39</f>
        <v>4330.0103044674488</v>
      </c>
      <c r="P39" s="316">
        <v>6</v>
      </c>
      <c r="Q39" s="303"/>
      <c r="R39" s="304"/>
      <c r="S39" s="281"/>
    </row>
    <row r="40" spans="2:19" ht="15.75" customHeight="1">
      <c r="B40" s="251"/>
      <c r="C40" s="307" t="s">
        <v>308</v>
      </c>
      <c r="D40" s="306" t="s">
        <v>295</v>
      </c>
      <c r="E40" s="343">
        <f>E33/2161*1000</f>
        <v>648.7737158722814</v>
      </c>
      <c r="F40" s="343">
        <f>F33/2525*1000</f>
        <v>638.01980198019805</v>
      </c>
      <c r="G40" s="272">
        <v>0</v>
      </c>
      <c r="H40" s="272">
        <v>0</v>
      </c>
      <c r="I40" s="273">
        <v>0</v>
      </c>
      <c r="J40" s="362">
        <f>J33/1862*1000</f>
        <v>786.25134264232008</v>
      </c>
      <c r="K40" s="432">
        <f>K33/4413*1000</f>
        <v>721.27804214819844</v>
      </c>
      <c r="L40" s="432">
        <f>L33/4722*1000</f>
        <v>526.8953833121559</v>
      </c>
      <c r="M40" s="426">
        <f>E40*1.2+F40*1.2+J40*1.2</f>
        <v>2487.6538325937595</v>
      </c>
      <c r="N40" s="433">
        <f>K40+L40</f>
        <v>1248.1734254603543</v>
      </c>
      <c r="O40" s="332">
        <f>M40+N40</f>
        <v>3735.8272580541138</v>
      </c>
      <c r="P40" s="316"/>
      <c r="Q40" s="290"/>
      <c r="R40" s="291"/>
      <c r="S40" s="281"/>
    </row>
    <row r="41" spans="2:19" ht="15.75" customHeight="1">
      <c r="B41" s="251"/>
      <c r="C41" s="305" t="s">
        <v>319</v>
      </c>
      <c r="D41" s="300" t="s">
        <v>315</v>
      </c>
      <c r="E41" s="315" t="s">
        <v>325</v>
      </c>
      <c r="F41" s="315" t="s">
        <v>313</v>
      </c>
      <c r="G41" s="343">
        <f>G33/3031*1000</f>
        <v>799.40613658858456</v>
      </c>
      <c r="H41" s="343">
        <f>H33/1941*1000</f>
        <v>888.71715610510046</v>
      </c>
      <c r="I41" s="362">
        <f>I33/2656*1000</f>
        <v>933.35843373493981</v>
      </c>
      <c r="J41" s="273">
        <v>0</v>
      </c>
      <c r="K41" s="360">
        <v>0</v>
      </c>
      <c r="L41" s="432">
        <f>L33/4712*1000</f>
        <v>528.01358234295412</v>
      </c>
      <c r="M41" s="426">
        <f>G41*1.2+H41*1.2+I41*1.2</f>
        <v>3145.7780717143496</v>
      </c>
      <c r="N41" s="433">
        <f>K41+L41</f>
        <v>528.01358234295412</v>
      </c>
      <c r="O41" s="332">
        <f>M41+N41</f>
        <v>3673.7916540573037</v>
      </c>
      <c r="P41" s="316"/>
      <c r="Q41" s="303"/>
      <c r="R41" s="304"/>
      <c r="S41" s="281"/>
    </row>
    <row r="42" spans="2:19" ht="15.75" customHeight="1">
      <c r="B42" s="251"/>
      <c r="C42" s="345" t="s">
        <v>307</v>
      </c>
      <c r="D42" s="260" t="s">
        <v>279</v>
      </c>
      <c r="E42" s="341">
        <f>E33/1545*1000</f>
        <v>907.44336569579286</v>
      </c>
      <c r="F42" s="308" t="s">
        <v>313</v>
      </c>
      <c r="G42" s="268">
        <v>0</v>
      </c>
      <c r="H42" s="341">
        <f>H33/1872*1000</f>
        <v>921.47435897435889</v>
      </c>
      <c r="I42" s="269">
        <v>0</v>
      </c>
      <c r="J42" s="361">
        <f>J33/1586*1000</f>
        <v>923.07692307692309</v>
      </c>
      <c r="K42" s="359" t="s">
        <v>325</v>
      </c>
      <c r="L42" s="269">
        <v>0</v>
      </c>
      <c r="M42" s="426">
        <f>E42*1.2+H42*1.2+J42*1.2</f>
        <v>3302.3935772964896</v>
      </c>
      <c r="N42" s="429">
        <v>0</v>
      </c>
      <c r="O42" s="332">
        <f>M42+N42</f>
        <v>3302.3935772964896</v>
      </c>
      <c r="P42" s="310"/>
      <c r="Q42" s="290"/>
      <c r="R42" s="292"/>
      <c r="S42" s="280"/>
    </row>
    <row r="43" spans="2:19" ht="15.75" customHeight="1">
      <c r="B43" s="251"/>
      <c r="C43" s="417" t="s">
        <v>337</v>
      </c>
      <c r="D43" s="418" t="s">
        <v>270</v>
      </c>
      <c r="E43" s="419">
        <v>0</v>
      </c>
      <c r="F43" s="419">
        <v>0</v>
      </c>
      <c r="G43" s="420">
        <f>G33/2581*1000</f>
        <v>938.7834172801239</v>
      </c>
      <c r="H43" s="419">
        <v>0</v>
      </c>
      <c r="I43" s="421">
        <f>I33/2479*1000</f>
        <v>1000</v>
      </c>
      <c r="J43" s="421">
        <f>J33/1846*1000</f>
        <v>793.06608884073671</v>
      </c>
      <c r="K43" s="538" t="s">
        <v>313</v>
      </c>
      <c r="L43" s="422">
        <v>0</v>
      </c>
      <c r="M43" s="427">
        <f>G43*1.2+I43*1.2+J43*1.2</f>
        <v>3278.2194073450328</v>
      </c>
      <c r="N43" s="429">
        <v>0</v>
      </c>
      <c r="O43" s="414">
        <f>M43+N43</f>
        <v>3278.2194073450328</v>
      </c>
      <c r="P43" s="423"/>
      <c r="Q43" s="424"/>
      <c r="R43" s="425"/>
      <c r="S43" s="281"/>
    </row>
    <row r="44" spans="2:19" ht="15.75" customHeight="1">
      <c r="B44" s="251"/>
      <c r="C44" s="305" t="s">
        <v>360</v>
      </c>
      <c r="D44" s="300" t="s">
        <v>295</v>
      </c>
      <c r="E44" s="315">
        <v>0</v>
      </c>
      <c r="F44" s="272">
        <v>0</v>
      </c>
      <c r="G44" s="272">
        <v>0</v>
      </c>
      <c r="H44" s="272">
        <v>0</v>
      </c>
      <c r="I44" s="362">
        <f>I33/3355*1000</f>
        <v>738.89716840536516</v>
      </c>
      <c r="J44" s="362">
        <f>J33/1907*1000</f>
        <v>767.69795490298895</v>
      </c>
      <c r="K44" s="537" t="s">
        <v>313</v>
      </c>
      <c r="L44" s="432">
        <f>L33/4450*1000</f>
        <v>559.10112359550556</v>
      </c>
      <c r="M44" s="428">
        <f>I44*1.2+J44*1.2</f>
        <v>1807.9141479700247</v>
      </c>
      <c r="N44" s="433">
        <f>L44</f>
        <v>559.10112359550556</v>
      </c>
      <c r="O44" s="332">
        <f>M44+N44</f>
        <v>2367.0152715655304</v>
      </c>
      <c r="P44" s="316"/>
      <c r="Q44" s="303"/>
      <c r="R44" s="304"/>
      <c r="S44" s="281"/>
    </row>
    <row r="45" spans="2:19" ht="15.75" customHeight="1">
      <c r="B45" s="251"/>
      <c r="C45" s="305" t="s">
        <v>318</v>
      </c>
      <c r="D45" s="300" t="s">
        <v>315</v>
      </c>
      <c r="E45" s="315" t="s">
        <v>325</v>
      </c>
      <c r="F45" s="343">
        <f>F33/3024*1000</f>
        <v>532.73809523809518</v>
      </c>
      <c r="G45" s="343">
        <f>G33/3631*1000</f>
        <v>667.30928118975487</v>
      </c>
      <c r="H45" s="272">
        <v>0</v>
      </c>
      <c r="I45" s="362">
        <f>I33/3679*1000</f>
        <v>673.82440880674096</v>
      </c>
      <c r="J45" s="273">
        <v>0</v>
      </c>
      <c r="K45" s="360">
        <v>0</v>
      </c>
      <c r="L45" s="537" t="s">
        <v>313</v>
      </c>
      <c r="M45" s="426">
        <f>F45*1.2+G45*1.2+I45*1.2</f>
        <v>2248.6461422815091</v>
      </c>
      <c r="N45" s="433">
        <v>0</v>
      </c>
      <c r="O45" s="332">
        <f t="shared" ref="O45:O50" si="8">M45+N45</f>
        <v>2248.6461422815091</v>
      </c>
      <c r="P45" s="316"/>
      <c r="Q45" s="303"/>
      <c r="R45" s="304"/>
      <c r="S45" s="281"/>
    </row>
    <row r="46" spans="2:19" ht="15.75" customHeight="1">
      <c r="B46" s="251"/>
      <c r="C46" s="305" t="s">
        <v>359</v>
      </c>
      <c r="D46" s="300" t="s">
        <v>295</v>
      </c>
      <c r="E46" s="315">
        <v>0</v>
      </c>
      <c r="F46" s="272">
        <v>0</v>
      </c>
      <c r="G46" s="272">
        <v>0</v>
      </c>
      <c r="H46" s="272">
        <v>0</v>
      </c>
      <c r="I46" s="362">
        <f>I33/3197*1000</f>
        <v>775.41445104785737</v>
      </c>
      <c r="J46" s="362">
        <f>J33/2418*1000</f>
        <v>605.45905707196039</v>
      </c>
      <c r="K46" s="360" t="s">
        <v>325</v>
      </c>
      <c r="L46" s="537" t="s">
        <v>313</v>
      </c>
      <c r="M46" s="428">
        <f>I46*1.2+J46*1.2</f>
        <v>1657.0482097437812</v>
      </c>
      <c r="N46" s="429">
        <v>0</v>
      </c>
      <c r="O46" s="332">
        <f t="shared" si="8"/>
        <v>1657.0482097437812</v>
      </c>
      <c r="P46" s="316"/>
      <c r="Q46" s="303"/>
      <c r="R46" s="304"/>
      <c r="S46" s="281"/>
    </row>
    <row r="47" spans="2:19" ht="15.75" customHeight="1">
      <c r="B47" s="251"/>
      <c r="C47" s="305" t="s">
        <v>317</v>
      </c>
      <c r="D47" s="300" t="s">
        <v>279</v>
      </c>
      <c r="E47" s="315">
        <v>0</v>
      </c>
      <c r="F47" s="343">
        <f>F33/2289*1000</f>
        <v>703.80078636959377</v>
      </c>
      <c r="G47" s="272">
        <v>0</v>
      </c>
      <c r="H47" s="272">
        <v>0</v>
      </c>
      <c r="I47" s="360" t="s">
        <v>313</v>
      </c>
      <c r="J47" s="273">
        <v>0</v>
      </c>
      <c r="K47" s="432">
        <f>K33/4130*1000</f>
        <v>770.70217917675541</v>
      </c>
      <c r="L47" s="273">
        <v>0</v>
      </c>
      <c r="M47" s="426">
        <f>F47*1.2</f>
        <v>844.56094364351247</v>
      </c>
      <c r="N47" s="433">
        <f>K47+L47</f>
        <v>770.70217917675541</v>
      </c>
      <c r="O47" s="332">
        <f>M47+N47</f>
        <v>1615.2631228202679</v>
      </c>
      <c r="P47" s="316"/>
      <c r="Q47" s="303"/>
      <c r="R47" s="304"/>
      <c r="S47" s="281"/>
    </row>
    <row r="48" spans="2:19" ht="15.75" customHeight="1">
      <c r="B48" s="251"/>
      <c r="C48" s="256" t="s">
        <v>306</v>
      </c>
      <c r="D48" s="258" t="s">
        <v>297</v>
      </c>
      <c r="E48" s="341">
        <f>E33/1493*1000</f>
        <v>939.04889484259877</v>
      </c>
      <c r="F48" s="308" t="s">
        <v>325</v>
      </c>
      <c r="G48" s="268">
        <v>0</v>
      </c>
      <c r="H48" s="268">
        <v>0</v>
      </c>
      <c r="I48" s="269">
        <v>0</v>
      </c>
      <c r="J48" s="269">
        <v>0</v>
      </c>
      <c r="K48" s="359" t="s">
        <v>325</v>
      </c>
      <c r="L48" s="269">
        <v>0</v>
      </c>
      <c r="M48" s="426">
        <f>E48*1.2</f>
        <v>1126.8586738111185</v>
      </c>
      <c r="N48" s="429">
        <v>0</v>
      </c>
      <c r="O48" s="332">
        <f t="shared" si="8"/>
        <v>1126.8586738111185</v>
      </c>
      <c r="P48" s="310"/>
      <c r="Q48" s="290"/>
      <c r="R48" s="292"/>
      <c r="S48" s="280"/>
    </row>
    <row r="49" spans="2:19" ht="15.75" customHeight="1">
      <c r="B49" s="251"/>
      <c r="C49" s="305" t="s">
        <v>368</v>
      </c>
      <c r="D49" s="300" t="s">
        <v>270</v>
      </c>
      <c r="E49" s="272">
        <v>0</v>
      </c>
      <c r="F49" s="272">
        <v>0</v>
      </c>
      <c r="G49" s="272">
        <v>0</v>
      </c>
      <c r="H49" s="272">
        <v>0</v>
      </c>
      <c r="I49" s="273">
        <v>0</v>
      </c>
      <c r="J49" s="362">
        <f>J33/1751*1000</f>
        <v>836.09366076527704</v>
      </c>
      <c r="K49" s="360" t="s">
        <v>325</v>
      </c>
      <c r="L49" s="273">
        <v>0</v>
      </c>
      <c r="M49" s="428">
        <f>J49*1.2</f>
        <v>1003.3123929183324</v>
      </c>
      <c r="N49" s="429">
        <v>0</v>
      </c>
      <c r="O49" s="332">
        <f t="shared" si="8"/>
        <v>1003.3123929183324</v>
      </c>
      <c r="P49" s="316"/>
      <c r="Q49" s="303"/>
      <c r="R49" s="304"/>
      <c r="S49" s="281"/>
    </row>
    <row r="50" spans="2:19" ht="15.75" customHeight="1">
      <c r="B50" s="251"/>
      <c r="C50" s="305" t="s">
        <v>344</v>
      </c>
      <c r="D50" s="300" t="s">
        <v>279</v>
      </c>
      <c r="E50" s="272">
        <v>0</v>
      </c>
      <c r="F50" s="272">
        <v>0</v>
      </c>
      <c r="G50" s="272">
        <v>0</v>
      </c>
      <c r="H50" s="343">
        <f>H33/2325*1000</f>
        <v>741.9354838709678</v>
      </c>
      <c r="I50" s="273">
        <v>0</v>
      </c>
      <c r="J50" s="273">
        <v>0</v>
      </c>
      <c r="K50" s="360" t="s">
        <v>325</v>
      </c>
      <c r="L50" s="273">
        <v>0</v>
      </c>
      <c r="M50" s="428">
        <f>H50*1.2</f>
        <v>890.32258064516134</v>
      </c>
      <c r="N50" s="429">
        <v>0</v>
      </c>
      <c r="O50" s="332">
        <f t="shared" si="8"/>
        <v>890.32258064516134</v>
      </c>
      <c r="P50" s="316"/>
      <c r="Q50" s="303"/>
      <c r="R50" s="304"/>
      <c r="S50" s="281"/>
    </row>
    <row r="51" spans="2:19" ht="15.75" customHeight="1" thickBot="1">
      <c r="B51" s="527"/>
      <c r="C51" s="528" t="s">
        <v>369</v>
      </c>
      <c r="D51" s="529" t="s">
        <v>283</v>
      </c>
      <c r="E51" s="274">
        <v>0</v>
      </c>
      <c r="F51" s="274">
        <v>0</v>
      </c>
      <c r="G51" s="274">
        <v>0</v>
      </c>
      <c r="H51" s="274">
        <v>0</v>
      </c>
      <c r="I51" s="340">
        <v>0</v>
      </c>
      <c r="J51" s="530">
        <f>J33/2487*1000</f>
        <v>588.66103739445123</v>
      </c>
      <c r="K51" s="531" t="s">
        <v>325</v>
      </c>
      <c r="L51" s="340">
        <v>0</v>
      </c>
      <c r="M51" s="532">
        <f>J51*1.2</f>
        <v>706.39324487334147</v>
      </c>
      <c r="N51" s="533">
        <v>0</v>
      </c>
      <c r="O51" s="534">
        <f t="shared" ref="O51" si="9">M51+N51</f>
        <v>706.39324487334147</v>
      </c>
      <c r="P51" s="535"/>
      <c r="Q51" s="293"/>
      <c r="R51" s="536"/>
      <c r="S51" s="281"/>
    </row>
    <row r="52" spans="2:19" ht="15.75" customHeight="1">
      <c r="B52" s="261"/>
      <c r="C52" s="263"/>
      <c r="D52" s="264"/>
      <c r="E52" s="265"/>
      <c r="F52" s="265"/>
      <c r="G52" s="265"/>
      <c r="H52" s="265"/>
      <c r="I52" s="265"/>
      <c r="J52" s="265"/>
      <c r="K52" s="265"/>
      <c r="L52" s="265"/>
      <c r="M52" s="275"/>
      <c r="N52" s="275"/>
      <c r="O52" s="275"/>
      <c r="P52" s="323"/>
      <c r="Q52" s="266"/>
      <c r="R52" s="266"/>
      <c r="S52" s="266"/>
    </row>
    <row r="53" spans="2:19" ht="83.25" customHeight="1">
      <c r="B53" s="518" t="s">
        <v>370</v>
      </c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234"/>
    </row>
    <row r="54" spans="2:19" ht="15" customHeight="1">
      <c r="B54" s="243"/>
      <c r="C54" s="243"/>
      <c r="D54" s="244"/>
      <c r="E54" s="245"/>
      <c r="F54" s="245"/>
      <c r="G54" s="245"/>
      <c r="H54" s="245"/>
      <c r="I54" s="245"/>
      <c r="J54" s="245"/>
      <c r="K54" s="245"/>
      <c r="L54" s="245"/>
      <c r="M54" s="276"/>
      <c r="N54" s="276"/>
      <c r="O54" s="276"/>
      <c r="P54" s="324"/>
      <c r="Q54" s="246"/>
      <c r="R54" s="246"/>
      <c r="S54" s="246"/>
    </row>
    <row r="55" spans="2:19" ht="15" customHeight="1">
      <c r="B55" s="235"/>
      <c r="C55" s="235"/>
      <c r="D55" s="235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7"/>
      <c r="Q55" s="238"/>
      <c r="R55" s="238"/>
      <c r="S55" s="238"/>
    </row>
    <row r="56" spans="2:19">
      <c r="B56" s="235"/>
      <c r="C56" s="235"/>
      <c r="E56" s="241"/>
      <c r="F56" s="236"/>
      <c r="G56" s="236"/>
      <c r="H56" s="236"/>
      <c r="I56" s="241"/>
      <c r="J56" s="241"/>
      <c r="K56" s="241"/>
      <c r="L56" s="241"/>
      <c r="M56" s="239"/>
      <c r="N56" s="239"/>
      <c r="O56" s="239"/>
      <c r="P56" s="237"/>
      <c r="Q56" s="238"/>
      <c r="R56" s="238"/>
      <c r="S56" s="238"/>
    </row>
    <row r="57" spans="2:19">
      <c r="B57" s="235"/>
      <c r="C57" s="235"/>
      <c r="E57" s="241"/>
      <c r="F57" s="236"/>
      <c r="G57" s="236"/>
      <c r="H57" s="236"/>
      <c r="I57" s="241"/>
      <c r="J57" s="241"/>
      <c r="K57" s="241"/>
      <c r="L57" s="241"/>
      <c r="M57" s="239"/>
      <c r="N57" s="239"/>
      <c r="O57" s="239"/>
      <c r="P57" s="237"/>
      <c r="Q57" s="238"/>
      <c r="R57" s="238"/>
      <c r="S57" s="238"/>
    </row>
    <row r="58" spans="2:19">
      <c r="B58" s="235"/>
      <c r="C58" s="235"/>
      <c r="D58" s="233"/>
      <c r="E58" s="241"/>
      <c r="F58" s="236"/>
      <c r="G58" s="236"/>
      <c r="H58" s="236"/>
      <c r="I58" s="241"/>
      <c r="J58" s="241"/>
      <c r="K58" s="241"/>
      <c r="L58" s="241"/>
      <c r="M58" s="239"/>
      <c r="N58" s="239"/>
      <c r="O58" s="239"/>
      <c r="P58" s="237"/>
      <c r="Q58" s="238"/>
      <c r="R58" s="238"/>
      <c r="S58" s="238"/>
    </row>
    <row r="59" spans="2:19">
      <c r="E59" s="247"/>
      <c r="I59" s="247"/>
      <c r="J59" s="247"/>
      <c r="K59" s="247"/>
      <c r="L59" s="247"/>
    </row>
  </sheetData>
  <mergeCells count="7">
    <mergeCell ref="M2:P2"/>
    <mergeCell ref="Q2:R2"/>
    <mergeCell ref="B1:R1"/>
    <mergeCell ref="B53:R53"/>
    <mergeCell ref="B2:B3"/>
    <mergeCell ref="C2:C3"/>
    <mergeCell ref="D2:D3"/>
  </mergeCells>
  <phoneticPr fontId="5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16년대표</vt:lpstr>
      <vt:lpstr>대표선수</vt:lpstr>
      <vt:lpstr>경기연맹</vt:lpstr>
      <vt:lpstr>경기15년</vt:lpstr>
      <vt:lpstr>청소년대표</vt:lpstr>
      <vt:lpstr>성인대표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happyu</cp:lastModifiedBy>
  <cp:lastPrinted>2023-02-17T11:14:20Z</cp:lastPrinted>
  <dcterms:created xsi:type="dcterms:W3CDTF">2014-03-04T04:19:40Z</dcterms:created>
  <dcterms:modified xsi:type="dcterms:W3CDTF">2023-11-28T01:14:04Z</dcterms:modified>
</cp:coreProperties>
</file>